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24226"/>
  <mc:AlternateContent xmlns:mc="http://schemas.openxmlformats.org/markup-compatibility/2006">
    <mc:Choice Requires="x15">
      <x15ac:absPath xmlns:x15ac="http://schemas.microsoft.com/office/spreadsheetml/2010/11/ac" url="\\intranet-fs1\子ども未来局\243給付係\05：研修・説明会等\R5.9.27〆_新設園・移行園向け説明会の資料作成について\01_新設園向け資料\"/>
    </mc:Choice>
  </mc:AlternateContent>
  <xr:revisionPtr revIDLastSave="0" documentId="13_ncr:1_{BEC116C8-BBA7-4BFE-8114-0BB4CB9F2DF5}" xr6:coauthVersionLast="47" xr6:coauthVersionMax="47" xr10:uidLastSave="{00000000-0000-0000-0000-000000000000}"/>
  <workbookProtection workbookAlgorithmName="SHA-512" workbookHashValue="y9sUYXrTo++GZmuOg6hkuBccqMPG69rx4IKp0zKXKAPei5QRCAWmm+frX39eWmqbY0vg5FPHRoREUJUyZGkQqQ==" workbookSaltValue="rWTh+86JGR++GiH+MSVvqQ==" workbookSpinCount="100000" lockStructure="1"/>
  <bookViews>
    <workbookView xWindow="-120" yWindow="-120" windowWidth="29040" windowHeight="15840" tabRatio="693" firstSheet="3" activeTab="3" xr2:uid="{00000000-000D-0000-FFFF-FFFF00000000}"/>
  </bookViews>
  <sheets>
    <sheet name="施設状況(要更新)" sheetId="32" state="hidden" r:id="rId1"/>
    <sheet name="休日情報(要更新)" sheetId="34" state="hidden" r:id="rId2"/>
    <sheet name="チーム保育単価(要更新)" sheetId="29" state="hidden" r:id="rId3"/>
    <sheet name="作成方法" sheetId="51" r:id="rId4"/>
    <sheet name="【別添】添付書類の表紙" sheetId="50" state="hidden" r:id="rId5"/>
    <sheet name="【様式１】総括表・個票" sheetId="23" r:id="rId6"/>
    <sheet name="(別紙１)施設長設置" sheetId="24" r:id="rId7"/>
    <sheet name="(別紙2)土曜閉所" sheetId="35" r:id="rId8"/>
    <sheet name="(別紙3)休日" sheetId="37" r:id="rId9"/>
    <sheet name="(別紙6)定員超過" sheetId="40" r:id="rId10"/>
    <sheet name="【様式2】職員名簿" sheetId="44" r:id="rId11"/>
    <sheet name="【様式３】シフト表" sheetId="45" r:id="rId12"/>
    <sheet name="【様式4】クラス編成表" sheetId="19" r:id="rId13"/>
    <sheet name="【様式５】職員数算出表" sheetId="46" r:id="rId14"/>
    <sheet name="【様式6】加算確認表" sheetId="27" r:id="rId15"/>
    <sheet name="ver" sheetId="31" r:id="rId16"/>
  </sheets>
  <definedNames>
    <definedName name="b">#REF!</definedName>
    <definedName name="d">#REF!</definedName>
    <definedName name="_xlnm.Print_Area" localSheetId="6">'(別紙１)施設長設置'!$A$1:$G$106</definedName>
    <definedName name="_xlnm.Print_Area" localSheetId="7">'(別紙2)土曜閉所'!$A$1:$H$30</definedName>
    <definedName name="_xlnm.Print_Area" localSheetId="8">'(別紙3)休日'!$A$1:$AA$55</definedName>
    <definedName name="_xlnm.Print_Area" localSheetId="9">'(別紙6)定員超過'!$A$1:$P$83</definedName>
    <definedName name="_xlnm.Print_Area" localSheetId="4">【別添】添付書類の表紙!$A$1:$D$57</definedName>
    <definedName name="_xlnm.Print_Area" localSheetId="5">【様式１】総括表・個票!$A$1:$AG$315</definedName>
    <definedName name="_xlnm.Print_Area" localSheetId="10">【様式2】職員名簿!$A$1:$J$140</definedName>
    <definedName name="_xlnm.Print_Area" localSheetId="11">【様式３】シフト表!$B$1:$AK$107</definedName>
    <definedName name="_xlnm.Print_Area" localSheetId="12">【様式4】クラス編成表!$A$1:$F$32</definedName>
    <definedName name="_xlnm.Print_Area" localSheetId="13">【様式５】職員数算出表!$A$1:$O$159</definedName>
    <definedName name="_xlnm.Print_Area" localSheetId="14">【様式6】加算確認表!$A$1:$AA$28</definedName>
    <definedName name="_xlnm.Print_Area" localSheetId="3">作成方法!$A$1:$E$42</definedName>
    <definedName name="_xlnm.Print_Titles" localSheetId="6">'(別紙１)施設長設置'!$1:$1</definedName>
    <definedName name="_xlnm.Print_Titles" localSheetId="7">'(別紙2)土曜閉所'!$1:$1</definedName>
    <definedName name="_xlnm.Print_Titles" localSheetId="5">【様式１】総括表・個票!$1:$1</definedName>
    <definedName name="_xlnm.Print_Titles" localSheetId="10">【様式2】職員名簿!$1:$2</definedName>
    <definedName name="_xlnm.Print_Titles" localSheetId="11">【様式３】シフト表!$1:$6</definedName>
    <definedName name="_xlnm.Print_Titles" localSheetId="12">【様式4】クラス編成表!$1:$5</definedName>
    <definedName name="_xlnm.Print_Titles" localSheetId="13">【様式５】職員数算出表!$1:$3</definedName>
    <definedName name="Z_231BE199_DDAC_4D61_831C_4C9016DB75EA_.wvu.PrintArea" localSheetId="5" hidden="1">【様式１】総括表・個票!$A$1:$AG$290</definedName>
    <definedName name="栄養士" localSheetId="4">#REF!</definedName>
    <definedName name="栄養士">【様式５】職員数算出表!$BD$7:$BD$112</definedName>
    <definedName name="家庭的保育">#REF!</definedName>
    <definedName name="概算交付申出書">#REF!</definedName>
    <definedName name="学校医" localSheetId="4">#REF!</definedName>
    <definedName name="学校医">【様式５】職員数算出表!#REF!</definedName>
    <definedName name="教諭" localSheetId="4">#REF!</definedName>
    <definedName name="教諭">#REF!</definedName>
    <definedName name="業務委託" localSheetId="4">#REF!</definedName>
    <definedName name="業務委託">【様式５】職員数算出表!$BL$7:$BL$11</definedName>
    <definedName name="区分１">#REF!</definedName>
    <definedName name="区分２">#REF!</definedName>
    <definedName name="区分３">#REF!</definedName>
    <definedName name="公設民営">#REF!</definedName>
    <definedName name="厚別区01私立01保育所">'施設状況(要更新)'!$AC$4:$AC$64</definedName>
    <definedName name="厚別区01私立02幼稚園">'施設状況(要更新)'!$AZ$4:$AZ$64</definedName>
    <definedName name="厚別区01私立03認定こども園">'施設状況(要更新)'!$BT$4:$BT$64</definedName>
    <definedName name="厚別区01保育所">'施設状況(要更新)'!$AC$4:$AC$15</definedName>
    <definedName name="厚別区03公立01保育所">'施設状況(要更新)'!$AO$4:$AO$64</definedName>
    <definedName name="厚別区03公立02幼稚園">'施設状況(要更新)'!$BK$4:$BK$64</definedName>
    <definedName name="札幌市あけぼの保育園">'施設状況(要更新)'!$Z$4:$CY$4</definedName>
    <definedName name="札幌市外01私立01保育所">'施設状況(要更新)'!$AI$4:$AI$64</definedName>
    <definedName name="札幌市外01私立02幼稚園">'施設状況(要更新)'!$BF$4:$BF$64</definedName>
    <definedName name="札幌市外01私立03認定こども園">'施設状況(要更新)'!$BZ$4:$BZ$64</definedName>
    <definedName name="札幌市外01私立04小規模A・B・C">'施設状況(要更新)'!$CL$4:$CL$64</definedName>
    <definedName name="札幌市外01私立06事業所内">'施設状況(要更新)'!$CZ$4:$CZ$64</definedName>
    <definedName name="札幌市外02公設民営01保育所">'施設状況(要更新)'!$AL$4:$AL$64</definedName>
    <definedName name="札幌市外03公立01保育所">'施設状況(要更新)'!$AU$4:$AU$64</definedName>
    <definedName name="札幌市外03公立03認定こども園">'施設状況(要更新)'!$CB$4:$CB$64</definedName>
    <definedName name="施設C" localSheetId="7">#REF!</definedName>
    <definedName name="施設C" localSheetId="9">#REF!</definedName>
    <definedName name="施設C">#REF!</definedName>
    <definedName name="施設種別">#REF!</definedName>
    <definedName name="施設長" localSheetId="4">#REF!</definedName>
    <definedName name="施設長">【様式５】職員数算出表!$AX$7:$AX$111</definedName>
    <definedName name="事業所内保育">#REF!</definedName>
    <definedName name="事務員" localSheetId="4">#REF!</definedName>
    <definedName name="事務員">【様式５】職員数算出表!$BH$7:$BH$111</definedName>
    <definedName name="手稲区01私立01保育所">'施設状況(要更新)'!$AH$4:$AH$64</definedName>
    <definedName name="手稲区01私立02幼稚園">'施設状況(要更新)'!$BE$4:$BE$64</definedName>
    <definedName name="手稲区01私立03認定こども園">'施設状況(要更新)'!$BY$4:$BY$64</definedName>
    <definedName name="手稲区01私立04小規模A・B・C">'施設状況(要更新)'!$CK$4:$CK$64</definedName>
    <definedName name="手稲区01私立05家庭的">'施設状況(要更新)'!$CT$4:$CT$64</definedName>
    <definedName name="手稲区01保育所">'施設状況(要更新)'!$AH$4:$AH$16</definedName>
    <definedName name="手稲区03公立01保育所">'施設状況(要更新)'!$AR$4:$AR$64</definedName>
    <definedName name="手稲区03公立02幼稚園">'施設状況(要更新)'!$BO$4:$BO$64</definedName>
    <definedName name="修正後施設マスタ" localSheetId="3">#REF!</definedName>
    <definedName name="修正後施設マスタ">#REF!</definedName>
    <definedName name="小規模保育">#REF!</definedName>
    <definedName name="常勤" localSheetId="13">【様式５】職員数算出表!$BB$7:$BB$111</definedName>
    <definedName name="常勤">【様式2】職員名簿!$AD$25:$AD$29</definedName>
    <definedName name="常勤事務員" localSheetId="4">#REF!</definedName>
    <definedName name="常勤事務員">【様式５】職員数算出表!#REF!</definedName>
    <definedName name="常勤調理員" localSheetId="4">#REF!</definedName>
    <definedName name="常勤調理員">【様式５】職員数算出表!#REF!</definedName>
    <definedName name="常勤保育士" localSheetId="4">#REF!</definedName>
    <definedName name="常勤保育士">【様式５】職員数算出表!$BB$7:$BB$111</definedName>
    <definedName name="清田区01私立01保育所">'施設状況(要更新)'!$AE$4:$AE$64</definedName>
    <definedName name="清田区01私立02幼稚園">'施設状況(要更新)'!$BB$4:$BB$64</definedName>
    <definedName name="清田区01私立03認定こども園">'施設状況(要更新)'!$BV$4:$BV$64</definedName>
    <definedName name="清田区01私立04小規模A・B・C">'施設状況(要更新)'!$CH$4:$CH$64</definedName>
    <definedName name="清田区01私立05家庭的">'施設状況(要更新)'!$CQ$4:$CQ$64</definedName>
    <definedName name="清田区01保育所">'施設状況(要更新)'!$AE$4:$AE$16</definedName>
    <definedName name="清田区03公立03認定こども園">'施設状況(要更新)'!$CA$4:$CA$64</definedName>
    <definedName name="西区01私立01保育所">'施設状況(要更新)'!$AG$4:$AG$64</definedName>
    <definedName name="西区01私立02幼稚園">'施設状況(要更新)'!$BD$4:$BD$64</definedName>
    <definedName name="西区01私立03認定こども園">'施設状況(要更新)'!$BX$4:$BX$64</definedName>
    <definedName name="西区01私立04小規模A・B・C">'施設状況(要更新)'!$CJ$4:$CJ$64</definedName>
    <definedName name="西区01私立05家庭的">'施設状況(要更新)'!$CS$4:$CS$64</definedName>
    <definedName name="西区01私立06事業所内">'施設状況(要更新)'!$CY$4:$CY$64</definedName>
    <definedName name="西区01保育所">'施設状況(要更新)'!$AG$4:$AG$37</definedName>
    <definedName name="西区02公設民営01保育所">'施設状況(要更新)'!$AJ$4:$AJ$64</definedName>
    <definedName name="西区03公立01保育所">'施設状況(要更新)'!$AQ$4:$AQ$64</definedName>
    <definedName name="西区03公立02幼稚園">'施設状況(要更新)'!$BN$4:$BN$64</definedName>
    <definedName name="請求書">#REF!</definedName>
    <definedName name="全員" localSheetId="4">#REF!</definedName>
    <definedName name="全員">【様式５】職員数算出表!$BJ$7:$BJ$111</definedName>
    <definedName name="全職種" localSheetId="4">#REF!</definedName>
    <definedName name="全職種">【様式５】職員数算出表!$BJ$7:$BJ$111</definedName>
    <definedName name="対象の有無" localSheetId="7">#REF!</definedName>
    <definedName name="対象の有無" localSheetId="4">#REF!</definedName>
    <definedName name="対象の有無" localSheetId="11">【様式３】シフト表!#REF!</definedName>
    <definedName name="対象の有無">#REF!</definedName>
    <definedName name="中央区01私立01保育所">'施設状況(要更新)'!$Y$4:$Y$64</definedName>
    <definedName name="中央区01私立02幼稚園">'施設状況(要更新)'!$AV$4:$AV$64</definedName>
    <definedName name="中央区01私立03認定こども園">'施設状況(要更新)'!$BP$4:$BP$64</definedName>
    <definedName name="中央区01私立04小規模A・B・C">'施設状況(要更新)'!$CC$4:$CC$64</definedName>
    <definedName name="中央区01保育所">'施設状況(要更新)'!$Y$4:$Y$42</definedName>
    <definedName name="中央区02公設民営01保育所">'施設状況(要更新)'!$AI$4:$AI$64</definedName>
    <definedName name="中央区03公立01保育所">'施設状況(要更新)'!$AK$4:$AK$64</definedName>
    <definedName name="中央区03公立02幼稚園">'施設状況(要更新)'!$BG$4:$BG$64</definedName>
    <definedName name="調理員" localSheetId="4">#REF!</definedName>
    <definedName name="調理員">【様式５】職員数算出表!$BF$7:$BF$111</definedName>
    <definedName name="東区01私立01保育所">'施設状況(要更新)'!$AA$4:$AA$64</definedName>
    <definedName name="東区01私立02幼稚園">'施設状況(要更新)'!$AX$4:$AX$64</definedName>
    <definedName name="東区01私立03認定こども園">'施設状況(要更新)'!$BR$4:$BR$64</definedName>
    <definedName name="東区01私立04小規模A・B・C">'施設状況(要更新)'!$CE$4:$CE$64</definedName>
    <definedName name="東区01私立05家庭的">'施設状況(要更新)'!$CN$4:$CN$64</definedName>
    <definedName name="東区01私立06事業所内">'施設状況(要更新)'!$CU$4:$CU$64</definedName>
    <definedName name="東区01保育所">'施設状況(要更新)'!$AA$4:$AA$35</definedName>
    <definedName name="東区03公立01保育所">'施設状況(要更新)'!$AM$4:$AM$64</definedName>
    <definedName name="東区03公立02幼稚園">'施設状況(要更新)'!$BI$4:$BI$64</definedName>
    <definedName name="南区01私立01保育所">'施設状況(要更新)'!$AF$4:$AF$64</definedName>
    <definedName name="南区01私立02幼稚園">'施設状況(要更新)'!$BC$4:$BC$64</definedName>
    <definedName name="南区01私立03認定こども園">'施設状況(要更新)'!$BW$4:$BW$64</definedName>
    <definedName name="南区01私立04小規模A・B・C">'施設状況(要更新)'!$CI$4:$CI$64</definedName>
    <definedName name="南区01私立05家庭的">'施設状況(要更新)'!$CR$4:$CR$64</definedName>
    <definedName name="南区01私立06事業所内">'施設状況(要更新)'!$CX$4:$CX$64</definedName>
    <definedName name="南区01保育所">'施設状況(要更新)'!$AF$4:$AF$15</definedName>
    <definedName name="南区03公立01保育所">'施設状況(要更新)'!$AR$4:$AR$64</definedName>
    <definedName name="南区03公立02幼稚園">'施設状況(要更新)'!$BM$4:$BM$64</definedName>
    <definedName name="南区03公立04小規模A・B・C">'施設状況(要更新)'!$CR$4:$CR$51</definedName>
    <definedName name="認定こども園">#REF!</definedName>
    <definedName name="認定区分">#REF!</definedName>
    <definedName name="白石区01私立01保育所">'施設状況(要更新)'!$AB$4:$AB$64</definedName>
    <definedName name="白石区01私立02幼稚園">'施設状況(要更新)'!$AY$4:$AY$64</definedName>
    <definedName name="白石区01私立03認定こども園">'施設状況(要更新)'!$BS$4:$BS$64</definedName>
    <definedName name="白石区01私立04小規模A・B・C">'施設状況(要更新)'!$CF$4:$CF$64</definedName>
    <definedName name="白石区01私立05家庭的">'施設状況(要更新)'!$CO$4:$CO$64</definedName>
    <definedName name="白石区01私立06事業所内">'施設状況(要更新)'!$CV$4:$CV$64</definedName>
    <definedName name="白石区01保育所">'施設状況(要更新)'!$AB$4:$AB$28</definedName>
    <definedName name="白石区03公立01保育所">'施設状況(要更新)'!$AN$4:$AN$64</definedName>
    <definedName name="白石区03公立02幼稚園">'施設状況(要更新)'!$BJ$4:$BJ$64</definedName>
    <definedName name="非常勤" localSheetId="4">#REF!</definedName>
    <definedName name="非常勤" localSheetId="10">【様式2】職員名簿!$AE$25:$AE$29</definedName>
    <definedName name="非常勤">#REF!</definedName>
    <definedName name="副園長" localSheetId="4">#REF!</definedName>
    <definedName name="副園長">【様式５】職員数算出表!#REF!</definedName>
    <definedName name="保育園連絡先">#REF!</definedName>
    <definedName name="保育士" localSheetId="4">#REF!</definedName>
    <definedName name="保育士">【様式５】職員数算出表!$AZ$7:$AZ$111</definedName>
    <definedName name="保育所">#REF!</definedName>
    <definedName name="豊平区01私立01保育所">'施設状況(要更新)'!$AD$4:$AD$64</definedName>
    <definedName name="豊平区01私立02幼稚園">'施設状況(要更新)'!$BA$4:$BA$64</definedName>
    <definedName name="豊平区01私立03認定こども園">'施設状況(要更新)'!$BU$4:$BU$64</definedName>
    <definedName name="豊平区01私立04小規模A・B・C">'施設状況(要更新)'!$CG$4:$CG$64</definedName>
    <definedName name="豊平区01私立05家庭的">'施設状況(要更新)'!$CP$4:$CP$64</definedName>
    <definedName name="豊平区01私立06事業所内">'施設状況(要更新)'!$CW$4:$CW$64</definedName>
    <definedName name="豊平区01保育所">'施設状況(要更新)'!$AD$4:$AD$23</definedName>
    <definedName name="豊平区03公立01保育所">'施設状況(要更新)'!$AP$4:$AP$64</definedName>
    <definedName name="豊平区03公立02幼稚園">'施設状況(要更新)'!$BL$4:$BL$64</definedName>
    <definedName name="北区01私立01保育所">'施設状況(要更新)'!$Z$4:$Z$64</definedName>
    <definedName name="北区01私立02幼稚園">'施設状況(要更新)'!$AW$4:$AW$64</definedName>
    <definedName name="北区01私立03認定こども園">'施設状況(要更新)'!$BQ$4:$BQ$64</definedName>
    <definedName name="北区01私立04小規模A・B・C">'施設状況(要更新)'!$CD$4:$CD$64</definedName>
    <definedName name="北区01私立05家庭的">'施設状況(要更新)'!$CM$4:$CM$64</definedName>
    <definedName name="北区01保育所">'施設状況(要更新)'!$Z$4:$Z$42</definedName>
    <definedName name="北区03公立01保育所">'施設状況(要更新)'!$AL$4:$AL$64</definedName>
    <definedName name="北区03公立02幼稚園">'施設状況(要更新)'!$BH$4:$BH$64</definedName>
    <definedName name="名前１">#REF!</definedName>
    <definedName name="名前２">#REF!</definedName>
    <definedName name="幼稚園">#REF!</definedName>
    <definedName name="曜日" localSheetId="7">#REF!</definedName>
    <definedName name="曜日">#REF!</definedName>
    <definedName name="様式３">#REF!</definedName>
    <definedName name="様式４">#REF!</definedName>
    <definedName name="和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23" l="1"/>
  <c r="J42" i="44"/>
  <c r="J43" i="44"/>
  <c r="J44" i="44"/>
  <c r="J45" i="44"/>
  <c r="J46" i="44"/>
  <c r="J47" i="44"/>
  <c r="J48" i="44"/>
  <c r="J49" i="44"/>
  <c r="J50" i="44"/>
  <c r="J51" i="44"/>
  <c r="J52" i="44"/>
  <c r="J53" i="44"/>
  <c r="J54" i="44"/>
  <c r="J55" i="44"/>
  <c r="J56" i="44"/>
  <c r="J57" i="44"/>
  <c r="J58" i="44"/>
  <c r="J59" i="44"/>
  <c r="J60" i="44"/>
  <c r="J61" i="44"/>
  <c r="J62" i="44"/>
  <c r="J63" i="44"/>
  <c r="J64" i="44"/>
  <c r="J65" i="44"/>
  <c r="J66" i="44"/>
  <c r="J67" i="44"/>
  <c r="J68" i="44"/>
  <c r="J69" i="44"/>
  <c r="J70" i="44"/>
  <c r="J71" i="44"/>
  <c r="J72" i="44"/>
  <c r="J73" i="44"/>
  <c r="J74" i="44"/>
  <c r="J75" i="44"/>
  <c r="J76" i="44"/>
  <c r="J77" i="44"/>
  <c r="J78" i="44"/>
  <c r="J79" i="44"/>
  <c r="J80" i="44"/>
  <c r="J81" i="44"/>
  <c r="J82" i="44"/>
  <c r="J83" i="44"/>
  <c r="J84" i="44"/>
  <c r="J85" i="44"/>
  <c r="J86" i="44"/>
  <c r="J87" i="44"/>
  <c r="J88" i="44"/>
  <c r="J89" i="44"/>
  <c r="J90" i="44"/>
  <c r="J91" i="44"/>
  <c r="J92" i="44"/>
  <c r="J93" i="44"/>
  <c r="J94" i="44"/>
  <c r="J95" i="44"/>
  <c r="J96" i="44"/>
  <c r="J97" i="44"/>
  <c r="J98" i="44"/>
  <c r="J99" i="44"/>
  <c r="J100" i="44"/>
  <c r="J101" i="44"/>
  <c r="J102" i="44"/>
  <c r="J103" i="44"/>
  <c r="J104" i="44"/>
  <c r="J105" i="44"/>
  <c r="J106" i="44"/>
  <c r="J107" i="44"/>
  <c r="J108" i="44"/>
  <c r="J109" i="44"/>
  <c r="J110" i="44"/>
  <c r="J111" i="44"/>
  <c r="J112" i="44"/>
  <c r="J113" i="44"/>
  <c r="J114" i="44"/>
  <c r="J115" i="44"/>
  <c r="J116" i="44"/>
  <c r="J117" i="44"/>
  <c r="J118" i="44"/>
  <c r="J119" i="44"/>
  <c r="J120" i="44"/>
  <c r="J121" i="44"/>
  <c r="J122" i="44"/>
  <c r="J123" i="44"/>
  <c r="J124" i="44"/>
  <c r="J125" i="44"/>
  <c r="J126" i="44"/>
  <c r="J127" i="44"/>
  <c r="J128" i="44"/>
  <c r="J129" i="44"/>
  <c r="J130" i="44"/>
  <c r="J131" i="44"/>
  <c r="J132" i="44"/>
  <c r="J133" i="44"/>
  <c r="J134" i="44"/>
  <c r="J135" i="44"/>
  <c r="J136" i="44"/>
  <c r="J137" i="44"/>
  <c r="J138" i="44"/>
  <c r="J139" i="44"/>
  <c r="J140" i="44"/>
  <c r="J41" i="44"/>
  <c r="E2" i="50"/>
  <c r="G2" i="50"/>
  <c r="F2" i="50"/>
  <c r="C9" i="50" l="1"/>
  <c r="C3" i="50"/>
  <c r="C7" i="50"/>
  <c r="K35" i="44" l="1"/>
  <c r="H35" i="44"/>
  <c r="K37" i="44"/>
  <c r="K36" i="44"/>
  <c r="B35" i="44"/>
  <c r="I36" i="44" s="1"/>
  <c r="I37" i="44" l="1"/>
  <c r="J35" i="44"/>
  <c r="D55" i="46" l="1"/>
  <c r="R53" i="46"/>
  <c r="O187" i="32" l="1"/>
  <c r="O188" i="32"/>
  <c r="O189" i="32"/>
  <c r="U15" i="27" l="1"/>
  <c r="S15" i="27"/>
  <c r="V14" i="27"/>
  <c r="W14" i="27"/>
  <c r="X14" i="27"/>
  <c r="Y14" i="27"/>
  <c r="Z14" i="27"/>
  <c r="AA14" i="27"/>
  <c r="U14" i="27"/>
  <c r="AI293" i="23"/>
  <c r="J292" i="23" s="1"/>
  <c r="AJ39" i="23" s="1"/>
  <c r="W4" i="23" l="1"/>
  <c r="AM28" i="23"/>
  <c r="AM29" i="23" s="1"/>
  <c r="AM25" i="23"/>
  <c r="AM26" i="23" s="1"/>
  <c r="AM22" i="23"/>
  <c r="AM23" i="23" s="1"/>
  <c r="AM19" i="23"/>
  <c r="AM20" i="23" s="1"/>
  <c r="AI131" i="23" l="1"/>
  <c r="AI132" i="23"/>
  <c r="I11" i="29" l="1"/>
  <c r="I15" i="29" s="1"/>
  <c r="I19" i="29" s="1"/>
  <c r="C12" i="51" l="1"/>
  <c r="C23" i="51" l="1"/>
  <c r="AI88" i="23" l="1"/>
  <c r="AI87" i="23"/>
  <c r="AI86" i="23"/>
  <c r="AA85" i="23" l="1"/>
  <c r="AI85" i="23" s="1"/>
  <c r="Z7" i="37"/>
  <c r="Z19" i="37"/>
  <c r="Z20" i="37"/>
  <c r="AD92" i="23"/>
  <c r="AI92" i="23" s="1"/>
  <c r="E24" i="37"/>
  <c r="AB93" i="23" l="1"/>
  <c r="H93" i="23"/>
  <c r="J93" i="23"/>
  <c r="L93" i="23"/>
  <c r="N93" i="23"/>
  <c r="P93" i="23"/>
  <c r="R93" i="23"/>
  <c r="T93" i="23"/>
  <c r="V93" i="23"/>
  <c r="X93" i="23"/>
  <c r="Z93" i="23"/>
  <c r="F93" i="23"/>
  <c r="AL14" i="37" l="1"/>
  <c r="G28" i="27"/>
  <c r="AL13" i="37"/>
  <c r="G27" i="27"/>
  <c r="AL5" i="37"/>
  <c r="G19" i="27"/>
  <c r="AL9" i="37"/>
  <c r="G23" i="27"/>
  <c r="AL8" i="37"/>
  <c r="G22" i="27"/>
  <c r="AL7" i="37"/>
  <c r="G21" i="27"/>
  <c r="AL12" i="37"/>
  <c r="G26" i="27"/>
  <c r="AL6" i="37"/>
  <c r="G20" i="27"/>
  <c r="AL11" i="37"/>
  <c r="G25" i="27"/>
  <c r="AL10" i="37"/>
  <c r="G24" i="27"/>
  <c r="AL4" i="37"/>
  <c r="G18" i="27"/>
  <c r="AL16" i="37"/>
  <c r="E25" i="37" s="1"/>
  <c r="AL3" i="37"/>
  <c r="G17" i="27"/>
  <c r="M4" i="35"/>
  <c r="K54" i="37"/>
  <c r="V54" i="37" s="1"/>
  <c r="W30" i="37" s="1"/>
  <c r="AC21" i="37"/>
  <c r="I32" i="37"/>
  <c r="Q31" i="37"/>
  <c r="Q30" i="37"/>
  <c r="Q29" i="37"/>
  <c r="Q28" i="37"/>
  <c r="Q32" i="37" l="1"/>
  <c r="AJ2" i="23"/>
  <c r="J68" i="46" l="1"/>
  <c r="K6" i="40"/>
  <c r="K7" i="40"/>
  <c r="AK3" i="23"/>
  <c r="AT111" i="46"/>
  <c r="AV111" i="46" s="1"/>
  <c r="AR111" i="46"/>
  <c r="Q31" i="46"/>
  <c r="W31" i="46" s="1"/>
  <c r="AC39" i="46"/>
  <c r="Z38" i="46" s="1"/>
  <c r="AI213" i="23"/>
  <c r="AJ234" i="23"/>
  <c r="AK234" i="23" s="1"/>
  <c r="AL234" i="23" s="1"/>
  <c r="AM234" i="23" s="1"/>
  <c r="AN234" i="23" s="1"/>
  <c r="AO234" i="23" s="1"/>
  <c r="AP234" i="23" s="1"/>
  <c r="AQ234" i="23" s="1"/>
  <c r="AR234" i="23" s="1"/>
  <c r="AS234" i="23" s="1"/>
  <c r="AU234" i="23" s="1"/>
  <c r="AV234" i="23" s="1"/>
  <c r="AD267" i="23"/>
  <c r="AI267" i="23" s="1"/>
  <c r="AI160" i="23"/>
  <c r="AI62" i="23"/>
  <c r="AI63" i="23"/>
  <c r="AT9" i="46"/>
  <c r="AV9" i="46" s="1"/>
  <c r="AT10" i="46"/>
  <c r="AV10" i="46" s="1"/>
  <c r="AT11" i="46"/>
  <c r="AV11" i="46" s="1"/>
  <c r="AT12" i="46"/>
  <c r="AT13" i="46"/>
  <c r="AT14" i="46"/>
  <c r="AV14" i="46"/>
  <c r="AT15" i="46"/>
  <c r="AV15" i="46"/>
  <c r="AT16" i="46"/>
  <c r="AV16" i="46" s="1"/>
  <c r="AT17" i="46"/>
  <c r="AV17" i="46" s="1"/>
  <c r="AT18" i="46"/>
  <c r="AV18" i="46" s="1"/>
  <c r="AT19" i="46"/>
  <c r="AV19" i="46" s="1"/>
  <c r="AT20" i="46"/>
  <c r="AV20" i="46"/>
  <c r="AT21" i="46"/>
  <c r="AV21" i="46" s="1"/>
  <c r="AT22" i="46"/>
  <c r="AV22" i="46" s="1"/>
  <c r="AT23" i="46"/>
  <c r="AV23" i="46" s="1"/>
  <c r="AT24" i="46"/>
  <c r="AV24" i="46" s="1"/>
  <c r="AT25" i="46"/>
  <c r="AV25" i="46" s="1"/>
  <c r="AT26" i="46"/>
  <c r="AV26" i="46" s="1"/>
  <c r="AT27" i="46"/>
  <c r="AV27" i="46" s="1"/>
  <c r="AT28" i="46"/>
  <c r="AV28" i="46" s="1"/>
  <c r="AT29" i="46"/>
  <c r="AV29" i="46" s="1"/>
  <c r="AT30" i="46"/>
  <c r="AV30" i="46" s="1"/>
  <c r="AT31" i="46"/>
  <c r="AV31" i="46" s="1"/>
  <c r="AT32" i="46"/>
  <c r="AV32" i="46" s="1"/>
  <c r="AT33" i="46"/>
  <c r="AV33" i="46" s="1"/>
  <c r="AT34" i="46"/>
  <c r="AV34" i="46" s="1"/>
  <c r="AT35" i="46"/>
  <c r="AV35" i="46" s="1"/>
  <c r="AT36" i="46"/>
  <c r="AV36" i="46" s="1"/>
  <c r="AT37" i="46"/>
  <c r="AV37" i="46" s="1"/>
  <c r="AT38" i="46"/>
  <c r="AV38" i="46" s="1"/>
  <c r="AT39" i="46"/>
  <c r="AV39" i="46" s="1"/>
  <c r="AT40" i="46"/>
  <c r="AV40" i="46" s="1"/>
  <c r="AT41" i="46"/>
  <c r="AV41" i="46" s="1"/>
  <c r="AT42" i="46"/>
  <c r="AV42" i="46" s="1"/>
  <c r="AT43" i="46"/>
  <c r="AV43" i="46" s="1"/>
  <c r="AT44" i="46"/>
  <c r="AV44" i="46" s="1"/>
  <c r="AT45" i="46"/>
  <c r="AV45" i="46" s="1"/>
  <c r="AT46" i="46"/>
  <c r="AV46" i="46" s="1"/>
  <c r="AT47" i="46"/>
  <c r="AV47" i="46" s="1"/>
  <c r="AT48" i="46"/>
  <c r="AV48" i="46" s="1"/>
  <c r="AT49" i="46"/>
  <c r="AV49" i="46" s="1"/>
  <c r="AT50" i="46"/>
  <c r="AV50" i="46" s="1"/>
  <c r="AT51" i="46"/>
  <c r="AV51" i="46" s="1"/>
  <c r="AT52" i="46"/>
  <c r="AV52" i="46" s="1"/>
  <c r="AT57" i="46"/>
  <c r="AV57" i="46" s="1"/>
  <c r="AT58" i="46"/>
  <c r="AV58" i="46" s="1"/>
  <c r="AT59" i="46"/>
  <c r="AV59" i="46" s="1"/>
  <c r="AT60" i="46"/>
  <c r="AV60" i="46" s="1"/>
  <c r="AT61" i="46"/>
  <c r="AV61" i="46" s="1"/>
  <c r="AT62" i="46"/>
  <c r="AV62" i="46" s="1"/>
  <c r="AT63" i="46"/>
  <c r="AV63" i="46" s="1"/>
  <c r="AT64" i="46"/>
  <c r="AV64" i="46" s="1"/>
  <c r="AT65" i="46"/>
  <c r="AV65" i="46" s="1"/>
  <c r="AT66" i="46"/>
  <c r="AV66" i="46" s="1"/>
  <c r="AT67" i="46"/>
  <c r="AV67" i="46" s="1"/>
  <c r="AT68" i="46"/>
  <c r="AV68" i="46" s="1"/>
  <c r="AT69" i="46"/>
  <c r="AV69" i="46" s="1"/>
  <c r="AT70" i="46"/>
  <c r="AV70" i="46" s="1"/>
  <c r="AT71" i="46"/>
  <c r="AV71" i="46" s="1"/>
  <c r="AT72" i="46"/>
  <c r="AV72" i="46" s="1"/>
  <c r="AT73" i="46"/>
  <c r="AV73" i="46" s="1"/>
  <c r="AT74" i="46"/>
  <c r="AV74" i="46" s="1"/>
  <c r="AT75" i="46"/>
  <c r="AV75" i="46" s="1"/>
  <c r="AT76" i="46"/>
  <c r="AV76" i="46" s="1"/>
  <c r="AT77" i="46"/>
  <c r="AV77" i="46" s="1"/>
  <c r="AT78" i="46"/>
  <c r="AV78" i="46" s="1"/>
  <c r="AT79" i="46"/>
  <c r="AV79" i="46" s="1"/>
  <c r="AT80" i="46"/>
  <c r="AV80" i="46" s="1"/>
  <c r="AT81" i="46"/>
  <c r="AV81" i="46"/>
  <c r="AT82" i="46"/>
  <c r="AV82" i="46" s="1"/>
  <c r="AT83" i="46"/>
  <c r="AV83" i="46"/>
  <c r="AT84" i="46"/>
  <c r="AV84" i="46" s="1"/>
  <c r="AT85" i="46"/>
  <c r="AV85" i="46" s="1"/>
  <c r="AT86" i="46"/>
  <c r="AV86" i="46" s="1"/>
  <c r="AT87" i="46"/>
  <c r="AV87" i="46" s="1"/>
  <c r="AT88" i="46"/>
  <c r="AV88" i="46" s="1"/>
  <c r="AT89" i="46"/>
  <c r="AV89" i="46"/>
  <c r="AT90" i="46"/>
  <c r="AV90" i="46"/>
  <c r="AT91" i="46"/>
  <c r="AV91" i="46" s="1"/>
  <c r="AT92" i="46"/>
  <c r="AV92" i="46"/>
  <c r="AT93" i="46"/>
  <c r="AV93" i="46"/>
  <c r="AT94" i="46"/>
  <c r="AV94" i="46" s="1"/>
  <c r="AT95" i="46"/>
  <c r="AV95" i="46"/>
  <c r="AT96" i="46"/>
  <c r="AV96" i="46"/>
  <c r="AT97" i="46"/>
  <c r="AV97" i="46"/>
  <c r="AT98" i="46"/>
  <c r="AV98" i="46"/>
  <c r="AT99" i="46"/>
  <c r="AV99" i="46"/>
  <c r="AT100" i="46"/>
  <c r="AV100" i="46"/>
  <c r="AT101" i="46"/>
  <c r="AV101" i="46"/>
  <c r="AT102" i="46"/>
  <c r="AV102" i="46"/>
  <c r="AT103" i="46"/>
  <c r="AV103" i="46"/>
  <c r="AT104" i="46"/>
  <c r="AV104" i="46"/>
  <c r="AT105" i="46"/>
  <c r="AV105" i="46"/>
  <c r="AT106" i="46"/>
  <c r="AV106" i="46"/>
  <c r="AT107" i="46"/>
  <c r="AV107" i="46"/>
  <c r="AT108" i="46"/>
  <c r="AV108" i="46"/>
  <c r="AT109" i="46"/>
  <c r="AV109" i="46"/>
  <c r="AT110" i="46"/>
  <c r="AV110" i="46"/>
  <c r="D10" i="23"/>
  <c r="K4" i="35" s="1"/>
  <c r="M5" i="35" s="1"/>
  <c r="M6" i="35" s="1"/>
  <c r="W77" i="46"/>
  <c r="AD266" i="23"/>
  <c r="AD265" i="23"/>
  <c r="AI265" i="23" s="1"/>
  <c r="Q35" i="46"/>
  <c r="P33" i="40"/>
  <c r="J35" i="40"/>
  <c r="AI158" i="23"/>
  <c r="AI157" i="23"/>
  <c r="AI165" i="23"/>
  <c r="AI164" i="23"/>
  <c r="AI163" i="23"/>
  <c r="T112" i="46"/>
  <c r="D112" i="46" s="1"/>
  <c r="T111" i="46"/>
  <c r="D111" i="46" s="1"/>
  <c r="T110" i="46"/>
  <c r="D110" i="46" s="1"/>
  <c r="T106" i="46"/>
  <c r="D106" i="46" s="1"/>
  <c r="T105" i="46"/>
  <c r="D105" i="46" s="1"/>
  <c r="T104" i="46"/>
  <c r="D104" i="46" s="1"/>
  <c r="T103" i="46"/>
  <c r="D103" i="46" s="1"/>
  <c r="T102" i="46"/>
  <c r="D102" i="46" s="1"/>
  <c r="T101" i="46"/>
  <c r="D101" i="46" s="1"/>
  <c r="T100" i="46"/>
  <c r="D100" i="46" s="1"/>
  <c r="T99" i="46"/>
  <c r="D99" i="46" s="1"/>
  <c r="T98" i="46"/>
  <c r="D98" i="46" s="1"/>
  <c r="T97" i="46"/>
  <c r="D97" i="46" s="1"/>
  <c r="T96" i="46"/>
  <c r="D96" i="46" s="1"/>
  <c r="T95" i="46"/>
  <c r="D95" i="46" s="1"/>
  <c r="T94" i="46"/>
  <c r="D94" i="46" s="1"/>
  <c r="T93" i="46"/>
  <c r="D93" i="46" s="1"/>
  <c r="T92" i="46"/>
  <c r="D92" i="46" s="1"/>
  <c r="W79" i="46"/>
  <c r="E6" i="44"/>
  <c r="R232" i="32"/>
  <c r="R231" i="32"/>
  <c r="R230" i="32"/>
  <c r="R229" i="32"/>
  <c r="R228" i="32"/>
  <c r="R227" i="32"/>
  <c r="R226" i="32"/>
  <c r="R225" i="32"/>
  <c r="R224" i="32"/>
  <c r="R223" i="32"/>
  <c r="R222" i="32"/>
  <c r="R221" i="32"/>
  <c r="R220" i="32"/>
  <c r="R219" i="32"/>
  <c r="R218" i="32"/>
  <c r="R217" i="32"/>
  <c r="R216" i="32"/>
  <c r="R215" i="32"/>
  <c r="R214" i="32"/>
  <c r="R213" i="32"/>
  <c r="R212" i="32"/>
  <c r="R211" i="32"/>
  <c r="R210" i="32"/>
  <c r="R209" i="32"/>
  <c r="R208" i="32"/>
  <c r="R207" i="32"/>
  <c r="R206" i="32"/>
  <c r="R205" i="32"/>
  <c r="R204" i="32"/>
  <c r="R203" i="32"/>
  <c r="R202" i="32"/>
  <c r="R201" i="32"/>
  <c r="R200" i="32"/>
  <c r="R199" i="32"/>
  <c r="R198" i="32"/>
  <c r="R197" i="32"/>
  <c r="R196" i="32"/>
  <c r="R195" i="32"/>
  <c r="R194" i="32"/>
  <c r="R193" i="32"/>
  <c r="R192" i="32"/>
  <c r="R191" i="32"/>
  <c r="R190" i="32"/>
  <c r="R189" i="32"/>
  <c r="R188" i="32"/>
  <c r="R187" i="32"/>
  <c r="O186" i="32"/>
  <c r="R186" i="32" s="1"/>
  <c r="O185" i="32"/>
  <c r="R185" i="32" s="1"/>
  <c r="O184" i="32"/>
  <c r="R184" i="32" s="1"/>
  <c r="O183" i="32"/>
  <c r="R183" i="32" s="1"/>
  <c r="O182" i="32"/>
  <c r="R182" i="32" s="1"/>
  <c r="O181" i="32"/>
  <c r="R181" i="32" s="1"/>
  <c r="O180" i="32"/>
  <c r="R180" i="32" s="1"/>
  <c r="O179" i="32"/>
  <c r="R179" i="32" s="1"/>
  <c r="O178" i="32"/>
  <c r="R178" i="32" s="1"/>
  <c r="O177" i="32"/>
  <c r="R177" i="32" s="1"/>
  <c r="O176" i="32"/>
  <c r="R176" i="32" s="1"/>
  <c r="O175" i="32"/>
  <c r="R175" i="32" s="1"/>
  <c r="O174" i="32"/>
  <c r="R174" i="32" s="1"/>
  <c r="O173" i="32"/>
  <c r="R173" i="32" s="1"/>
  <c r="O172" i="32"/>
  <c r="R172" i="32" s="1"/>
  <c r="O171" i="32"/>
  <c r="R171" i="32" s="1"/>
  <c r="O170" i="32"/>
  <c r="R170" i="32" s="1"/>
  <c r="O169" i="32"/>
  <c r="R169" i="32" s="1"/>
  <c r="O168" i="32"/>
  <c r="R168" i="32" s="1"/>
  <c r="O167" i="32"/>
  <c r="R167" i="32" s="1"/>
  <c r="O166" i="32"/>
  <c r="R166" i="32" s="1"/>
  <c r="O165" i="32"/>
  <c r="R165" i="32" s="1"/>
  <c r="O164" i="32"/>
  <c r="R164" i="32" s="1"/>
  <c r="O163" i="32"/>
  <c r="R163" i="32" s="1"/>
  <c r="O162" i="32"/>
  <c r="R162" i="32" s="1"/>
  <c r="O161" i="32"/>
  <c r="R161" i="32" s="1"/>
  <c r="O160" i="32"/>
  <c r="R160" i="32" s="1"/>
  <c r="O159" i="32"/>
  <c r="R159" i="32" s="1"/>
  <c r="O158" i="32"/>
  <c r="R158" i="32" s="1"/>
  <c r="O157" i="32"/>
  <c r="R157" i="32" s="1"/>
  <c r="O156" i="32"/>
  <c r="R156" i="32" s="1"/>
  <c r="O155" i="32"/>
  <c r="R155" i="32" s="1"/>
  <c r="O154" i="32"/>
  <c r="R154" i="32" s="1"/>
  <c r="O153" i="32"/>
  <c r="R153" i="32" s="1"/>
  <c r="O152" i="32"/>
  <c r="R152" i="32" s="1"/>
  <c r="O151" i="32"/>
  <c r="R151" i="32" s="1"/>
  <c r="O150" i="32"/>
  <c r="R150" i="32" s="1"/>
  <c r="O149" i="32"/>
  <c r="R149" i="32" s="1"/>
  <c r="O148" i="32"/>
  <c r="R148" i="32" s="1"/>
  <c r="O147" i="32"/>
  <c r="R147" i="32" s="1"/>
  <c r="O146" i="32"/>
  <c r="R146" i="32" s="1"/>
  <c r="O145" i="32"/>
  <c r="R145" i="32" s="1"/>
  <c r="O144" i="32"/>
  <c r="R144" i="32" s="1"/>
  <c r="O143" i="32"/>
  <c r="R143" i="32" s="1"/>
  <c r="O142" i="32"/>
  <c r="R142" i="32" s="1"/>
  <c r="O141" i="32"/>
  <c r="R141" i="32" s="1"/>
  <c r="O140" i="32"/>
  <c r="R140" i="32" s="1"/>
  <c r="O139" i="32"/>
  <c r="R139" i="32" s="1"/>
  <c r="O138" i="32"/>
  <c r="R138" i="32" s="1"/>
  <c r="O137" i="32"/>
  <c r="R137" i="32" s="1"/>
  <c r="O136" i="32"/>
  <c r="R136" i="32" s="1"/>
  <c r="O135" i="32"/>
  <c r="R135" i="32" s="1"/>
  <c r="O134" i="32"/>
  <c r="R134" i="32" s="1"/>
  <c r="O133" i="32"/>
  <c r="R133" i="32" s="1"/>
  <c r="O132" i="32"/>
  <c r="R132" i="32" s="1"/>
  <c r="O131" i="32"/>
  <c r="R131" i="32" s="1"/>
  <c r="O130" i="32"/>
  <c r="R130" i="32" s="1"/>
  <c r="O129" i="32"/>
  <c r="R129" i="32" s="1"/>
  <c r="O128" i="32"/>
  <c r="R128" i="32" s="1"/>
  <c r="O127" i="32"/>
  <c r="R127" i="32" s="1"/>
  <c r="O126" i="32"/>
  <c r="R126" i="32" s="1"/>
  <c r="O125" i="32"/>
  <c r="R125" i="32" s="1"/>
  <c r="O124" i="32"/>
  <c r="R124" i="32" s="1"/>
  <c r="O123" i="32"/>
  <c r="R123" i="32" s="1"/>
  <c r="O122" i="32"/>
  <c r="R122" i="32" s="1"/>
  <c r="O121" i="32"/>
  <c r="R121" i="32" s="1"/>
  <c r="O120" i="32"/>
  <c r="R120" i="32" s="1"/>
  <c r="O119" i="32"/>
  <c r="R119" i="32" s="1"/>
  <c r="O118" i="32"/>
  <c r="R118" i="32" s="1"/>
  <c r="O117" i="32"/>
  <c r="R117" i="32" s="1"/>
  <c r="O116" i="32"/>
  <c r="R116" i="32" s="1"/>
  <c r="O115" i="32"/>
  <c r="R115" i="32" s="1"/>
  <c r="O114" i="32"/>
  <c r="R114" i="32" s="1"/>
  <c r="O113" i="32"/>
  <c r="R113" i="32" s="1"/>
  <c r="O112" i="32"/>
  <c r="R112" i="32" s="1"/>
  <c r="O111" i="32"/>
  <c r="R111" i="32" s="1"/>
  <c r="O110" i="32"/>
  <c r="R110" i="32" s="1"/>
  <c r="O109" i="32"/>
  <c r="R109" i="32" s="1"/>
  <c r="O108" i="32"/>
  <c r="R108" i="32" s="1"/>
  <c r="O107" i="32"/>
  <c r="R107" i="32" s="1"/>
  <c r="O106" i="32"/>
  <c r="R106" i="32" s="1"/>
  <c r="O105" i="32"/>
  <c r="R105" i="32" s="1"/>
  <c r="O104" i="32"/>
  <c r="R104" i="32" s="1"/>
  <c r="O103" i="32"/>
  <c r="R103" i="32" s="1"/>
  <c r="O102" i="32"/>
  <c r="R102" i="32" s="1"/>
  <c r="O101" i="32"/>
  <c r="R101" i="32" s="1"/>
  <c r="O100" i="32"/>
  <c r="R100" i="32" s="1"/>
  <c r="O99" i="32"/>
  <c r="R99" i="32" s="1"/>
  <c r="O98" i="32"/>
  <c r="R98" i="32" s="1"/>
  <c r="O97" i="32"/>
  <c r="R97" i="32" s="1"/>
  <c r="O96" i="32"/>
  <c r="R96" i="32" s="1"/>
  <c r="O95" i="32"/>
  <c r="R95" i="32" s="1"/>
  <c r="O94" i="32"/>
  <c r="R94" i="32" s="1"/>
  <c r="O93" i="32"/>
  <c r="R93" i="32" s="1"/>
  <c r="O92" i="32"/>
  <c r="R92" i="32" s="1"/>
  <c r="O91" i="32"/>
  <c r="R91" i="32" s="1"/>
  <c r="O90" i="32"/>
  <c r="R90" i="32" s="1"/>
  <c r="O89" i="32"/>
  <c r="R89" i="32" s="1"/>
  <c r="O88" i="32"/>
  <c r="R88" i="32" s="1"/>
  <c r="O87" i="32"/>
  <c r="R87" i="32" s="1"/>
  <c r="O86" i="32"/>
  <c r="R86" i="32" s="1"/>
  <c r="O85" i="32"/>
  <c r="R85" i="32" s="1"/>
  <c r="O84" i="32"/>
  <c r="R84" i="32" s="1"/>
  <c r="O83" i="32"/>
  <c r="R83" i="32" s="1"/>
  <c r="O82" i="32"/>
  <c r="R82" i="32" s="1"/>
  <c r="O81" i="32"/>
  <c r="R81" i="32" s="1"/>
  <c r="O80" i="32"/>
  <c r="R80" i="32" s="1"/>
  <c r="O79" i="32"/>
  <c r="R79" i="32" s="1"/>
  <c r="O78" i="32"/>
  <c r="R78" i="32" s="1"/>
  <c r="O77" i="32"/>
  <c r="R77" i="32" s="1"/>
  <c r="O76" i="32"/>
  <c r="R76" i="32" s="1"/>
  <c r="O75" i="32"/>
  <c r="R75" i="32" s="1"/>
  <c r="O74" i="32"/>
  <c r="R74" i="32" s="1"/>
  <c r="O73" i="32"/>
  <c r="R73" i="32" s="1"/>
  <c r="O72" i="32"/>
  <c r="R72" i="32" s="1"/>
  <c r="O71" i="32"/>
  <c r="R71" i="32" s="1"/>
  <c r="O70" i="32"/>
  <c r="R70" i="32" s="1"/>
  <c r="O69" i="32"/>
  <c r="R69" i="32" s="1"/>
  <c r="O68" i="32"/>
  <c r="R68" i="32" s="1"/>
  <c r="O67" i="32"/>
  <c r="R67" i="32" s="1"/>
  <c r="O66" i="32"/>
  <c r="R66" i="32" s="1"/>
  <c r="O65" i="32"/>
  <c r="R65" i="32" s="1"/>
  <c r="O64" i="32"/>
  <c r="R64" i="32" s="1"/>
  <c r="O63" i="32"/>
  <c r="R63" i="32" s="1"/>
  <c r="O62" i="32"/>
  <c r="R62" i="32" s="1"/>
  <c r="O61" i="32"/>
  <c r="R61" i="32" s="1"/>
  <c r="O60" i="32"/>
  <c r="R60" i="32" s="1"/>
  <c r="O59" i="32"/>
  <c r="R59" i="32" s="1"/>
  <c r="O58" i="32"/>
  <c r="R58" i="32" s="1"/>
  <c r="O57" i="32"/>
  <c r="R57" i="32" s="1"/>
  <c r="O56" i="32"/>
  <c r="R56" i="32" s="1"/>
  <c r="O55" i="32"/>
  <c r="R55" i="32" s="1"/>
  <c r="O54" i="32"/>
  <c r="R54" i="32" s="1"/>
  <c r="O53" i="32"/>
  <c r="R53" i="32" s="1"/>
  <c r="O52" i="32"/>
  <c r="R52" i="32" s="1"/>
  <c r="O51" i="32"/>
  <c r="R51" i="32" s="1"/>
  <c r="O50" i="32"/>
  <c r="R50" i="32" s="1"/>
  <c r="O49" i="32"/>
  <c r="R49" i="32" s="1"/>
  <c r="O48" i="32"/>
  <c r="R48" i="32" s="1"/>
  <c r="O47" i="32"/>
  <c r="R47" i="32" s="1"/>
  <c r="O46" i="32"/>
  <c r="R46" i="32" s="1"/>
  <c r="O45" i="32"/>
  <c r="R45" i="32" s="1"/>
  <c r="O44" i="32"/>
  <c r="R44" i="32" s="1"/>
  <c r="O43" i="32"/>
  <c r="R43" i="32" s="1"/>
  <c r="O42" i="32"/>
  <c r="R42" i="32" s="1"/>
  <c r="O41" i="32"/>
  <c r="R41" i="32" s="1"/>
  <c r="O40" i="32"/>
  <c r="R40" i="32" s="1"/>
  <c r="O39" i="32"/>
  <c r="R39" i="32" s="1"/>
  <c r="O38" i="32"/>
  <c r="R38" i="32" s="1"/>
  <c r="O37" i="32"/>
  <c r="R37" i="32" s="1"/>
  <c r="O36" i="32"/>
  <c r="R36" i="32" s="1"/>
  <c r="O35" i="32"/>
  <c r="R35" i="32" s="1"/>
  <c r="O34" i="32"/>
  <c r="R34" i="32" s="1"/>
  <c r="O33" i="32"/>
  <c r="R33" i="32" s="1"/>
  <c r="O32" i="32"/>
  <c r="R32" i="32" s="1"/>
  <c r="O31" i="32"/>
  <c r="R31" i="32" s="1"/>
  <c r="O30" i="32"/>
  <c r="R30" i="32" s="1"/>
  <c r="O29" i="32"/>
  <c r="R29" i="32" s="1"/>
  <c r="O28" i="32"/>
  <c r="R28" i="32" s="1"/>
  <c r="O27" i="32"/>
  <c r="R27" i="32" s="1"/>
  <c r="O26" i="32"/>
  <c r="R26" i="32" s="1"/>
  <c r="O25" i="32"/>
  <c r="R25" i="32" s="1"/>
  <c r="O24" i="32"/>
  <c r="R24" i="32" s="1"/>
  <c r="O23" i="32"/>
  <c r="R23" i="32" s="1"/>
  <c r="O22" i="32"/>
  <c r="R22" i="32" s="1"/>
  <c r="O21" i="32"/>
  <c r="R21" i="32" s="1"/>
  <c r="O20" i="32"/>
  <c r="R20" i="32" s="1"/>
  <c r="O19" i="32"/>
  <c r="R19" i="32" s="1"/>
  <c r="O18" i="32"/>
  <c r="R18" i="32" s="1"/>
  <c r="O17" i="32"/>
  <c r="R17" i="32" s="1"/>
  <c r="O16" i="32"/>
  <c r="R16" i="32" s="1"/>
  <c r="O15" i="32"/>
  <c r="R15" i="32" s="1"/>
  <c r="O14" i="32"/>
  <c r="R14" i="32" s="1"/>
  <c r="O13" i="32"/>
  <c r="R13" i="32" s="1"/>
  <c r="O12" i="32"/>
  <c r="R12" i="32" s="1"/>
  <c r="O11" i="32"/>
  <c r="R11" i="32" s="1"/>
  <c r="O10" i="32"/>
  <c r="R10" i="32" s="1"/>
  <c r="O9" i="32"/>
  <c r="R9" i="32" s="1"/>
  <c r="O8" i="32"/>
  <c r="R8" i="32" s="1"/>
  <c r="O7" i="32"/>
  <c r="R7" i="32" s="1"/>
  <c r="O6" i="32"/>
  <c r="R6" i="32" s="1"/>
  <c r="O5" i="32"/>
  <c r="R5" i="32" s="1"/>
  <c r="O4" i="32"/>
  <c r="R4" i="32" s="1"/>
  <c r="AI91" i="23"/>
  <c r="AM2" i="45"/>
  <c r="T2" i="40"/>
  <c r="AC2" i="37"/>
  <c r="T91" i="46"/>
  <c r="D91" i="46" s="1"/>
  <c r="T90" i="46"/>
  <c r="D90" i="46" s="1"/>
  <c r="T89" i="46"/>
  <c r="D89" i="46" s="1"/>
  <c r="T88" i="46"/>
  <c r="D88" i="46" s="1"/>
  <c r="T87" i="46"/>
  <c r="D87" i="46" s="1"/>
  <c r="T86" i="46"/>
  <c r="D86" i="46" s="1"/>
  <c r="T85" i="46"/>
  <c r="D85" i="46" s="1"/>
  <c r="T84" i="46"/>
  <c r="D84" i="46" s="1"/>
  <c r="T83" i="46"/>
  <c r="D83" i="46" s="1"/>
  <c r="T82" i="46"/>
  <c r="D82" i="46" s="1"/>
  <c r="T81" i="46"/>
  <c r="D81" i="46" s="1"/>
  <c r="T80" i="46"/>
  <c r="D80" i="46" s="1"/>
  <c r="T79" i="46"/>
  <c r="D79" i="46" s="1"/>
  <c r="T78" i="46"/>
  <c r="D78" i="46" s="1"/>
  <c r="T77" i="46"/>
  <c r="D77" i="46" s="1"/>
  <c r="T66" i="46"/>
  <c r="AC67" i="46"/>
  <c r="AA39" i="46" s="1"/>
  <c r="T67" i="46"/>
  <c r="T65" i="46"/>
  <c r="AI266" i="23"/>
  <c r="T37" i="46"/>
  <c r="T38" i="46"/>
  <c r="T39" i="46"/>
  <c r="T33" i="46"/>
  <c r="T31" i="46"/>
  <c r="T35" i="46"/>
  <c r="W35" i="46"/>
  <c r="T34" i="46"/>
  <c r="N35" i="46"/>
  <c r="K12" i="46"/>
  <c r="J12" i="46"/>
  <c r="I144" i="46" s="1"/>
  <c r="H12" i="46"/>
  <c r="G12" i="46"/>
  <c r="F12" i="46"/>
  <c r="M11" i="46"/>
  <c r="M10" i="46"/>
  <c r="M9" i="46"/>
  <c r="N9" i="46" s="1"/>
  <c r="M8" i="46"/>
  <c r="AI299" i="23"/>
  <c r="R43" i="46"/>
  <c r="C43" i="46"/>
  <c r="O63" i="46"/>
  <c r="O52" i="46"/>
  <c r="O51" i="46"/>
  <c r="O50" i="46"/>
  <c r="O49" i="46"/>
  <c r="O48" i="46"/>
  <c r="O47" i="46"/>
  <c r="O46" i="46"/>
  <c r="O45" i="46"/>
  <c r="O44" i="46"/>
  <c r="N52" i="46"/>
  <c r="N51" i="46"/>
  <c r="N50" i="46"/>
  <c r="N49" i="46"/>
  <c r="N48" i="46"/>
  <c r="N47" i="46"/>
  <c r="N46" i="46"/>
  <c r="N45" i="46"/>
  <c r="N44" i="46"/>
  <c r="N31" i="46"/>
  <c r="T28" i="46"/>
  <c r="T27" i="46"/>
  <c r="Q41" i="46"/>
  <c r="W41" i="46" s="1"/>
  <c r="D41" i="46" s="1"/>
  <c r="F3" i="45"/>
  <c r="A2" i="44"/>
  <c r="T42" i="46"/>
  <c r="T52" i="46"/>
  <c r="T51" i="46"/>
  <c r="T50" i="46"/>
  <c r="T49" i="46"/>
  <c r="T48" i="46"/>
  <c r="T47" i="46"/>
  <c r="T46" i="46"/>
  <c r="T45" i="46"/>
  <c r="T44" i="46"/>
  <c r="T43" i="46"/>
  <c r="G2" i="44"/>
  <c r="E3" i="19" s="1"/>
  <c r="T61" i="46"/>
  <c r="T60" i="46"/>
  <c r="T59" i="46"/>
  <c r="T58" i="46"/>
  <c r="T57" i="46"/>
  <c r="J61" i="46"/>
  <c r="J60" i="46"/>
  <c r="J59" i="46"/>
  <c r="J52" i="46"/>
  <c r="J51" i="46"/>
  <c r="J50" i="46"/>
  <c r="J48" i="46"/>
  <c r="J47" i="46"/>
  <c r="J46" i="46"/>
  <c r="J45" i="46"/>
  <c r="N39" i="44"/>
  <c r="T30" i="46"/>
  <c r="T29" i="46"/>
  <c r="W78" i="46"/>
  <c r="W122" i="46"/>
  <c r="T122" i="46"/>
  <c r="D122" i="46" s="1"/>
  <c r="W121" i="46"/>
  <c r="T121" i="46"/>
  <c r="D121" i="46" s="1"/>
  <c r="W120" i="46"/>
  <c r="T120" i="46"/>
  <c r="D120" i="46" s="1"/>
  <c r="W119" i="46"/>
  <c r="T119" i="46"/>
  <c r="D119" i="46" s="1"/>
  <c r="W118" i="46"/>
  <c r="T118" i="46"/>
  <c r="D118" i="46" s="1"/>
  <c r="W117" i="46"/>
  <c r="T117" i="46"/>
  <c r="D117" i="46" s="1"/>
  <c r="W116" i="46"/>
  <c r="T116" i="46"/>
  <c r="D116" i="46" s="1"/>
  <c r="W115" i="46"/>
  <c r="T115" i="46"/>
  <c r="D115" i="46" s="1"/>
  <c r="W114" i="46"/>
  <c r="T114" i="46"/>
  <c r="D114" i="46" s="1"/>
  <c r="W113" i="46"/>
  <c r="T113" i="46"/>
  <c r="D113" i="46" s="1"/>
  <c r="W112" i="46"/>
  <c r="W111" i="46"/>
  <c r="W110" i="46"/>
  <c r="W109" i="46"/>
  <c r="T109" i="46"/>
  <c r="D109" i="46" s="1"/>
  <c r="W108" i="46"/>
  <c r="T108" i="46"/>
  <c r="D108" i="46"/>
  <c r="W107" i="46"/>
  <c r="T107" i="46"/>
  <c r="D107" i="46" s="1"/>
  <c r="W106" i="46"/>
  <c r="W105" i="46"/>
  <c r="W104" i="46"/>
  <c r="W103" i="46"/>
  <c r="W102" i="46"/>
  <c r="W101" i="46"/>
  <c r="W100" i="46"/>
  <c r="W99" i="46"/>
  <c r="W98" i="46"/>
  <c r="W97" i="46"/>
  <c r="W96" i="46"/>
  <c r="W95" i="46"/>
  <c r="W94" i="46"/>
  <c r="W93" i="46"/>
  <c r="W92" i="46"/>
  <c r="W91" i="46"/>
  <c r="W90" i="46"/>
  <c r="W89" i="46"/>
  <c r="W88" i="46"/>
  <c r="W87" i="46"/>
  <c r="W86" i="46"/>
  <c r="W85" i="46"/>
  <c r="W84" i="46"/>
  <c r="W83" i="46"/>
  <c r="W82" i="46"/>
  <c r="W81" i="46"/>
  <c r="W80" i="46"/>
  <c r="J117" i="46"/>
  <c r="J116" i="46"/>
  <c r="J115" i="46"/>
  <c r="J114" i="46"/>
  <c r="J113" i="46"/>
  <c r="J101" i="46"/>
  <c r="AI101" i="46" s="1"/>
  <c r="AJ101" i="46" s="1"/>
  <c r="J100" i="46"/>
  <c r="AI100" i="46" s="1"/>
  <c r="L100" i="46" s="1"/>
  <c r="J99" i="46"/>
  <c r="J98" i="46"/>
  <c r="J103" i="46"/>
  <c r="J102" i="46"/>
  <c r="J96" i="46"/>
  <c r="AI96" i="46" s="1"/>
  <c r="J95" i="46"/>
  <c r="J94" i="46"/>
  <c r="J93" i="46"/>
  <c r="J92" i="46"/>
  <c r="J91" i="46"/>
  <c r="AI91" i="46" s="1"/>
  <c r="J110" i="46"/>
  <c r="AI110" i="46" s="1"/>
  <c r="J109" i="46"/>
  <c r="J108" i="46"/>
  <c r="J106" i="46"/>
  <c r="J105" i="46"/>
  <c r="J104" i="46"/>
  <c r="T71" i="46"/>
  <c r="AR67" i="46"/>
  <c r="T70" i="46"/>
  <c r="AR66" i="46"/>
  <c r="T69" i="46"/>
  <c r="AR65" i="46"/>
  <c r="T68" i="46"/>
  <c r="T72" i="46"/>
  <c r="T63" i="46"/>
  <c r="T62" i="46"/>
  <c r="AC40" i="46"/>
  <c r="Q26" i="46"/>
  <c r="N26" i="46" s="1"/>
  <c r="T36" i="46"/>
  <c r="K3" i="46"/>
  <c r="L19" i="46"/>
  <c r="J143" i="46" s="1"/>
  <c r="K19" i="46"/>
  <c r="K20" i="46" s="1"/>
  <c r="J19" i="46"/>
  <c r="I19" i="46"/>
  <c r="H19" i="46"/>
  <c r="G19" i="46"/>
  <c r="G20" i="46" s="1"/>
  <c r="F19" i="46"/>
  <c r="M18" i="46"/>
  <c r="M17" i="46"/>
  <c r="M16" i="46"/>
  <c r="M15" i="46"/>
  <c r="L12" i="46"/>
  <c r="I143" i="46" s="1"/>
  <c r="I12" i="46"/>
  <c r="AO2" i="45"/>
  <c r="AR110" i="46"/>
  <c r="AR109" i="46"/>
  <c r="AR108" i="46"/>
  <c r="AR107" i="46"/>
  <c r="AR106" i="46"/>
  <c r="AR105" i="46"/>
  <c r="AR104" i="46"/>
  <c r="AR103" i="46"/>
  <c r="AR102" i="46"/>
  <c r="AR101" i="46"/>
  <c r="AR100" i="46"/>
  <c r="AR99" i="46"/>
  <c r="AR98" i="46"/>
  <c r="AR97" i="46"/>
  <c r="AR96" i="46"/>
  <c r="AR95" i="46"/>
  <c r="AR94" i="46"/>
  <c r="AR93" i="46"/>
  <c r="AR92" i="46"/>
  <c r="AR91" i="46"/>
  <c r="AR90" i="46"/>
  <c r="AR89" i="46"/>
  <c r="AR88" i="46"/>
  <c r="AR87" i="46"/>
  <c r="AR86" i="46"/>
  <c r="AR85" i="46"/>
  <c r="AR84" i="46"/>
  <c r="AR83" i="46"/>
  <c r="AR82" i="46"/>
  <c r="AR81" i="46"/>
  <c r="AR80" i="46"/>
  <c r="AR79" i="46"/>
  <c r="AR78" i="46"/>
  <c r="AR77" i="46"/>
  <c r="AR76" i="46"/>
  <c r="AR75" i="46"/>
  <c r="AR74" i="46"/>
  <c r="AR73" i="46"/>
  <c r="AC123" i="46"/>
  <c r="F123" i="46"/>
  <c r="W123" i="46" s="1"/>
  <c r="AR72" i="46"/>
  <c r="J122" i="46"/>
  <c r="AI122" i="46" s="1"/>
  <c r="M122" i="46" s="1"/>
  <c r="AG122" i="46" s="1"/>
  <c r="AR71" i="46"/>
  <c r="J121" i="46"/>
  <c r="AR70" i="46"/>
  <c r="J120" i="46"/>
  <c r="AI120" i="46" s="1"/>
  <c r="AR69" i="46"/>
  <c r="J119" i="46"/>
  <c r="AR68" i="46"/>
  <c r="J118" i="46"/>
  <c r="AR64" i="46"/>
  <c r="J112" i="46"/>
  <c r="AI112" i="46" s="1"/>
  <c r="AR63" i="46"/>
  <c r="J111" i="46"/>
  <c r="AR62" i="46"/>
  <c r="AR61" i="46"/>
  <c r="J90" i="46"/>
  <c r="AI90" i="46" s="1"/>
  <c r="AR60" i="46"/>
  <c r="J89" i="46"/>
  <c r="AR59" i="46"/>
  <c r="J88" i="46"/>
  <c r="AR58" i="46"/>
  <c r="J87" i="46"/>
  <c r="AI87" i="46" s="1"/>
  <c r="AR57" i="46"/>
  <c r="J86" i="46"/>
  <c r="AR52" i="46"/>
  <c r="J85" i="46"/>
  <c r="AR51" i="46"/>
  <c r="AR50" i="46"/>
  <c r="AR49" i="46"/>
  <c r="J82" i="46"/>
  <c r="AR48" i="46"/>
  <c r="J81" i="46"/>
  <c r="AR47" i="46"/>
  <c r="AR46" i="46"/>
  <c r="AR45" i="46"/>
  <c r="AR44" i="46"/>
  <c r="AR43" i="46"/>
  <c r="AR42" i="46"/>
  <c r="AR41" i="46"/>
  <c r="AR40" i="46"/>
  <c r="T73" i="46"/>
  <c r="AR39" i="46"/>
  <c r="AR38" i="46"/>
  <c r="AR37" i="46"/>
  <c r="AR36" i="46"/>
  <c r="AR35" i="46"/>
  <c r="T64" i="46"/>
  <c r="AR34" i="46"/>
  <c r="AR33" i="46"/>
  <c r="AR32" i="46"/>
  <c r="AR31" i="46"/>
  <c r="AR30" i="46"/>
  <c r="AR29" i="46"/>
  <c r="AR28" i="46"/>
  <c r="AR27" i="46"/>
  <c r="AR26" i="46"/>
  <c r="AR25" i="46"/>
  <c r="AR24" i="46"/>
  <c r="AD42" i="46"/>
  <c r="AR23" i="46"/>
  <c r="AR22" i="46"/>
  <c r="AR21" i="46"/>
  <c r="AR20" i="46"/>
  <c r="T40" i="46"/>
  <c r="AR19" i="46"/>
  <c r="AR18" i="46"/>
  <c r="AR17" i="46"/>
  <c r="AR16" i="46"/>
  <c r="T26" i="46"/>
  <c r="AR15" i="46"/>
  <c r="AR14" i="46"/>
  <c r="AR13" i="46"/>
  <c r="BM11" i="46"/>
  <c r="BK11" i="46"/>
  <c r="AR12" i="46"/>
  <c r="BM10" i="46"/>
  <c r="U40" i="46" s="1"/>
  <c r="AD40" i="46" s="1"/>
  <c r="BK10" i="46"/>
  <c r="AR11" i="46"/>
  <c r="BM9" i="46"/>
  <c r="U34" i="46" s="1"/>
  <c r="AD34" i="46" s="1"/>
  <c r="BK9" i="46"/>
  <c r="AR10" i="46"/>
  <c r="BM8" i="46"/>
  <c r="BK8" i="46"/>
  <c r="AR9" i="46"/>
  <c r="AQ7" i="46"/>
  <c r="A135" i="46" s="1"/>
  <c r="AT8" i="46"/>
  <c r="AR8" i="46"/>
  <c r="BM7" i="46"/>
  <c r="U123" i="46" s="1"/>
  <c r="BK7" i="46"/>
  <c r="AF123" i="46" s="1"/>
  <c r="D123" i="46" s="1"/>
  <c r="AQ6" i="46"/>
  <c r="AQ5" i="46"/>
  <c r="A133" i="46" s="1"/>
  <c r="AQ4" i="46"/>
  <c r="BC3" i="46" s="1"/>
  <c r="AQ3" i="46"/>
  <c r="BA3" i="46" s="1"/>
  <c r="AQ2" i="46"/>
  <c r="A130" i="46" s="1"/>
  <c r="AM2" i="46"/>
  <c r="AG107" i="45"/>
  <c r="AF107" i="45"/>
  <c r="AE107" i="45"/>
  <c r="AD107" i="45"/>
  <c r="AC107" i="45"/>
  <c r="AB107" i="45"/>
  <c r="AA107" i="45"/>
  <c r="Z107" i="45"/>
  <c r="Y107" i="45"/>
  <c r="X107" i="45"/>
  <c r="W107" i="45"/>
  <c r="V107" i="45"/>
  <c r="U107" i="45"/>
  <c r="T107" i="45"/>
  <c r="S107" i="45"/>
  <c r="R107" i="45"/>
  <c r="Q107" i="45"/>
  <c r="P107" i="45"/>
  <c r="O107" i="45"/>
  <c r="N107" i="45"/>
  <c r="M107" i="45"/>
  <c r="L107" i="45"/>
  <c r="K107" i="45"/>
  <c r="J107" i="45"/>
  <c r="I107" i="45"/>
  <c r="H107" i="45"/>
  <c r="G107" i="45"/>
  <c r="F107" i="45"/>
  <c r="B106" i="45"/>
  <c r="B105" i="45"/>
  <c r="B104" i="45"/>
  <c r="B103" i="45"/>
  <c r="B102" i="45"/>
  <c r="B101" i="45"/>
  <c r="B100" i="45"/>
  <c r="B99" i="45"/>
  <c r="B98" i="45"/>
  <c r="B97" i="45"/>
  <c r="B96" i="45"/>
  <c r="B95" i="45"/>
  <c r="B94" i="45"/>
  <c r="B93" i="45"/>
  <c r="B92" i="45"/>
  <c r="B91" i="45"/>
  <c r="B90" i="45"/>
  <c r="B89" i="45"/>
  <c r="B88" i="45"/>
  <c r="B87" i="45"/>
  <c r="B86" i="45"/>
  <c r="B85" i="45"/>
  <c r="B84" i="45"/>
  <c r="B83" i="45"/>
  <c r="B82" i="45"/>
  <c r="B81" i="45"/>
  <c r="B80" i="45"/>
  <c r="B79" i="45"/>
  <c r="B78" i="45"/>
  <c r="B77" i="45"/>
  <c r="B76" i="45"/>
  <c r="B75" i="45"/>
  <c r="B74" i="45"/>
  <c r="B73" i="45"/>
  <c r="B72" i="45"/>
  <c r="B71" i="45"/>
  <c r="B70" i="45"/>
  <c r="B69" i="45"/>
  <c r="B68" i="45"/>
  <c r="B67" i="45"/>
  <c r="B66" i="45"/>
  <c r="B65" i="45"/>
  <c r="B64" i="45"/>
  <c r="B63" i="45"/>
  <c r="B62" i="45"/>
  <c r="B61" i="45"/>
  <c r="B60" i="45"/>
  <c r="B59" i="45"/>
  <c r="B58" i="45"/>
  <c r="B57" i="45"/>
  <c r="B56" i="45"/>
  <c r="B55" i="45"/>
  <c r="B54" i="45"/>
  <c r="B53" i="45"/>
  <c r="B52" i="45"/>
  <c r="B51" i="45"/>
  <c r="B50" i="45"/>
  <c r="B49" i="45"/>
  <c r="B48" i="45"/>
  <c r="B47" i="45"/>
  <c r="B46" i="45"/>
  <c r="B45" i="45"/>
  <c r="B44" i="45"/>
  <c r="B43" i="45"/>
  <c r="B42" i="45"/>
  <c r="B41" i="45"/>
  <c r="B40" i="45"/>
  <c r="B39" i="45"/>
  <c r="B38" i="45"/>
  <c r="B37" i="45"/>
  <c r="B36" i="45"/>
  <c r="B35" i="45"/>
  <c r="B34" i="45"/>
  <c r="B33" i="45"/>
  <c r="B32" i="45"/>
  <c r="B31" i="45"/>
  <c r="B30" i="45"/>
  <c r="B29" i="45"/>
  <c r="B28" i="45"/>
  <c r="B27" i="45"/>
  <c r="B26" i="45"/>
  <c r="B25" i="45"/>
  <c r="B24" i="45"/>
  <c r="B23" i="45"/>
  <c r="B22" i="45"/>
  <c r="B21" i="45"/>
  <c r="B20" i="45"/>
  <c r="B19" i="45"/>
  <c r="B18" i="45"/>
  <c r="B17" i="45"/>
  <c r="B16" i="45"/>
  <c r="B15" i="45"/>
  <c r="B14" i="45"/>
  <c r="B13" i="45"/>
  <c r="B12" i="45"/>
  <c r="B11" i="45"/>
  <c r="B10" i="45"/>
  <c r="B9" i="45"/>
  <c r="B8" i="45"/>
  <c r="B7" i="45"/>
  <c r="AH2" i="45"/>
  <c r="R146" i="44"/>
  <c r="R145" i="44"/>
  <c r="R144" i="44"/>
  <c r="R143" i="44"/>
  <c r="R142" i="44"/>
  <c r="R141" i="44"/>
  <c r="A41" i="44"/>
  <c r="A42" i="44" s="1"/>
  <c r="A43" i="44" s="1"/>
  <c r="A44" i="44" s="1"/>
  <c r="A45" i="44" s="1"/>
  <c r="A46" i="44" s="1"/>
  <c r="A47" i="44" s="1"/>
  <c r="A48" i="44" s="1"/>
  <c r="A49" i="44" s="1"/>
  <c r="A50" i="44" s="1"/>
  <c r="A51" i="44" s="1"/>
  <c r="A52" i="44" s="1"/>
  <c r="A53" i="44" s="1"/>
  <c r="A54" i="44" s="1"/>
  <c r="A55" i="44" s="1"/>
  <c r="A56" i="44" s="1"/>
  <c r="A57" i="44" s="1"/>
  <c r="A58" i="44" s="1"/>
  <c r="A59" i="44" s="1"/>
  <c r="A60" i="44" s="1"/>
  <c r="A61" i="44" s="1"/>
  <c r="A62" i="44" s="1"/>
  <c r="A63" i="44" s="1"/>
  <c r="A64" i="44" s="1"/>
  <c r="A65" i="44" s="1"/>
  <c r="A66" i="44" s="1"/>
  <c r="A67" i="44" s="1"/>
  <c r="A68" i="44" s="1"/>
  <c r="A69" i="44" s="1"/>
  <c r="A70" i="44" s="1"/>
  <c r="A71" i="44" s="1"/>
  <c r="A72" i="44" s="1"/>
  <c r="A73" i="44" s="1"/>
  <c r="A74" i="44" s="1"/>
  <c r="A75" i="44" s="1"/>
  <c r="A76" i="44" s="1"/>
  <c r="A77" i="44" s="1"/>
  <c r="A78" i="44" s="1"/>
  <c r="A79" i="44" s="1"/>
  <c r="A80" i="44" s="1"/>
  <c r="A81" i="44" s="1"/>
  <c r="A82" i="44" s="1"/>
  <c r="A83" i="44" s="1"/>
  <c r="A84" i="44" s="1"/>
  <c r="A85" i="44" s="1"/>
  <c r="A86" i="44" s="1"/>
  <c r="A87" i="44" s="1"/>
  <c r="A88" i="44" s="1"/>
  <c r="A89" i="44" s="1"/>
  <c r="A90" i="44" s="1"/>
  <c r="A91" i="44" s="1"/>
  <c r="A92" i="44" s="1"/>
  <c r="A93" i="44" s="1"/>
  <c r="A94" i="44" s="1"/>
  <c r="A95" i="44" s="1"/>
  <c r="A96" i="44" s="1"/>
  <c r="A97" i="44" s="1"/>
  <c r="A98" i="44" s="1"/>
  <c r="A99" i="44" s="1"/>
  <c r="A100" i="44" s="1"/>
  <c r="A101" i="44" s="1"/>
  <c r="A102" i="44" s="1"/>
  <c r="A103" i="44" s="1"/>
  <c r="A104" i="44" s="1"/>
  <c r="A105" i="44" s="1"/>
  <c r="A106" i="44" s="1"/>
  <c r="A107" i="44" s="1"/>
  <c r="A108" i="44" s="1"/>
  <c r="A109" i="44" s="1"/>
  <c r="A110" i="44" s="1"/>
  <c r="A111" i="44" s="1"/>
  <c r="A112" i="44" s="1"/>
  <c r="A113" i="44" s="1"/>
  <c r="A114" i="44" s="1"/>
  <c r="A115" i="44" s="1"/>
  <c r="A116" i="44" s="1"/>
  <c r="A117" i="44" s="1"/>
  <c r="A118" i="44" s="1"/>
  <c r="A119" i="44" s="1"/>
  <c r="A120" i="44" s="1"/>
  <c r="A121" i="44" s="1"/>
  <c r="A122" i="44" s="1"/>
  <c r="A123" i="44" s="1"/>
  <c r="A124" i="44" s="1"/>
  <c r="A125" i="44" s="1"/>
  <c r="A126" i="44" s="1"/>
  <c r="A127" i="44" s="1"/>
  <c r="A128" i="44" s="1"/>
  <c r="A129" i="44" s="1"/>
  <c r="A130" i="44" s="1"/>
  <c r="A131" i="44" s="1"/>
  <c r="A132" i="44" s="1"/>
  <c r="A133" i="44" s="1"/>
  <c r="A134" i="44" s="1"/>
  <c r="A135" i="44" s="1"/>
  <c r="A136" i="44" s="1"/>
  <c r="A137" i="44" s="1"/>
  <c r="A138" i="44" s="1"/>
  <c r="A139" i="44" s="1"/>
  <c r="A140" i="44" s="1"/>
  <c r="B39" i="44"/>
  <c r="X38" i="44"/>
  <c r="W38" i="44"/>
  <c r="V38" i="44"/>
  <c r="U38" i="44"/>
  <c r="Q38" i="44"/>
  <c r="O38" i="44"/>
  <c r="O104" i="44" s="1"/>
  <c r="M38" i="44"/>
  <c r="M41" i="44" s="1"/>
  <c r="AU8" i="46" s="1"/>
  <c r="Y37" i="44"/>
  <c r="U37" i="44"/>
  <c r="U74" i="44" s="1"/>
  <c r="T37" i="44"/>
  <c r="T138" i="44" s="1"/>
  <c r="S37" i="44"/>
  <c r="S49" i="44" s="1"/>
  <c r="F32" i="44"/>
  <c r="E32" i="44"/>
  <c r="A32" i="44"/>
  <c r="F31" i="44"/>
  <c r="E31" i="44"/>
  <c r="Q31" i="44" s="1"/>
  <c r="A31" i="44"/>
  <c r="F30" i="44"/>
  <c r="E30" i="44"/>
  <c r="O30" i="44" s="1"/>
  <c r="A30" i="44"/>
  <c r="F29" i="44"/>
  <c r="E29" i="44"/>
  <c r="Q29" i="44" s="1"/>
  <c r="A29" i="44"/>
  <c r="F28" i="44"/>
  <c r="E28" i="44"/>
  <c r="O28" i="44" s="1"/>
  <c r="A28" i="44"/>
  <c r="M25" i="44"/>
  <c r="M30" i="44" s="1"/>
  <c r="G104" i="44"/>
  <c r="Q104" i="44" s="1"/>
  <c r="Y136" i="44"/>
  <c r="O64" i="44"/>
  <c r="G64" i="44" s="1"/>
  <c r="F20" i="46"/>
  <c r="J20" i="46"/>
  <c r="N15" i="46"/>
  <c r="M19" i="46"/>
  <c r="Y124" i="44"/>
  <c r="Y92" i="44"/>
  <c r="O96" i="44"/>
  <c r="G96" i="44" s="1"/>
  <c r="Q96" i="44" s="1"/>
  <c r="O136" i="44"/>
  <c r="G136" i="44" s="1"/>
  <c r="Q136" i="44" s="1"/>
  <c r="Y116" i="44"/>
  <c r="Y50" i="44"/>
  <c r="Y76" i="44"/>
  <c r="O88" i="44"/>
  <c r="Y108" i="44"/>
  <c r="O120" i="44"/>
  <c r="G120" i="44" s="1"/>
  <c r="Q120" i="44" s="1"/>
  <c r="Y140" i="44"/>
  <c r="Y84" i="44"/>
  <c r="Q30" i="44"/>
  <c r="Y52" i="44"/>
  <c r="Y68" i="44"/>
  <c r="O80" i="44"/>
  <c r="G80" i="44" s="1"/>
  <c r="Q80" i="44" s="1"/>
  <c r="Y100" i="44"/>
  <c r="O112" i="44"/>
  <c r="Y132" i="44"/>
  <c r="S47" i="44"/>
  <c r="S54" i="44"/>
  <c r="S41" i="44"/>
  <c r="S65" i="44"/>
  <c r="S57" i="44"/>
  <c r="S46" i="44"/>
  <c r="S113" i="44"/>
  <c r="S89" i="44"/>
  <c r="S127" i="44"/>
  <c r="S111" i="44"/>
  <c r="S103" i="44"/>
  <c r="S79" i="44"/>
  <c r="S71" i="44"/>
  <c r="M139" i="44"/>
  <c r="M137" i="44"/>
  <c r="M134" i="44"/>
  <c r="M129" i="44"/>
  <c r="M126" i="44"/>
  <c r="M121" i="44"/>
  <c r="M118" i="44"/>
  <c r="M113" i="44"/>
  <c r="M110" i="44"/>
  <c r="M105" i="44"/>
  <c r="M102" i="44"/>
  <c r="M97" i="44"/>
  <c r="M94" i="44"/>
  <c r="AU65" i="46" s="1"/>
  <c r="AS65" i="46" s="1"/>
  <c r="M89" i="44"/>
  <c r="M86" i="44"/>
  <c r="M81" i="44"/>
  <c r="M78" i="44"/>
  <c r="M73" i="44"/>
  <c r="M70" i="44"/>
  <c r="M65" i="44"/>
  <c r="M62" i="44"/>
  <c r="M49" i="44"/>
  <c r="M47" i="44"/>
  <c r="M45" i="44"/>
  <c r="M44" i="44"/>
  <c r="M135" i="44"/>
  <c r="M127" i="44"/>
  <c r="M111" i="44"/>
  <c r="M103" i="44"/>
  <c r="M87" i="44"/>
  <c r="M71" i="44"/>
  <c r="M55" i="44"/>
  <c r="M140" i="44"/>
  <c r="M138" i="44"/>
  <c r="M132" i="44"/>
  <c r="M130" i="44"/>
  <c r="M124" i="44"/>
  <c r="M122" i="44"/>
  <c r="M116" i="44"/>
  <c r="M114" i="44"/>
  <c r="M108" i="44"/>
  <c r="M106" i="44"/>
  <c r="M100" i="44"/>
  <c r="M98" i="44"/>
  <c r="M92" i="44"/>
  <c r="M90" i="44"/>
  <c r="M84" i="44"/>
  <c r="M82" i="44"/>
  <c r="M76" i="44"/>
  <c r="M74" i="44"/>
  <c r="M68" i="44"/>
  <c r="M66" i="44"/>
  <c r="M54" i="44"/>
  <c r="M119" i="44"/>
  <c r="AU90" i="46" s="1"/>
  <c r="M95" i="44"/>
  <c r="M79" i="44"/>
  <c r="M63" i="44"/>
  <c r="M60" i="44"/>
  <c r="M58" i="44"/>
  <c r="M133" i="44"/>
  <c r="M125" i="44"/>
  <c r="M117" i="44"/>
  <c r="M109" i="44"/>
  <c r="M101" i="44"/>
  <c r="M93" i="44"/>
  <c r="M85" i="44"/>
  <c r="M77" i="44"/>
  <c r="M69" i="44"/>
  <c r="M61" i="44"/>
  <c r="M57" i="44"/>
  <c r="M53" i="44"/>
  <c r="M52" i="44"/>
  <c r="M50" i="44"/>
  <c r="M46" i="44"/>
  <c r="M42" i="44"/>
  <c r="M32" i="44"/>
  <c r="J32" i="44" s="1"/>
  <c r="BL11" i="46" s="1"/>
  <c r="M29" i="44"/>
  <c r="J29" i="44" s="1"/>
  <c r="BL8" i="46" s="1"/>
  <c r="M31" i="44"/>
  <c r="M28" i="44"/>
  <c r="S44" i="44"/>
  <c r="T44" i="44"/>
  <c r="O58" i="44"/>
  <c r="G58" i="44" s="1"/>
  <c r="Q58" i="44" s="1"/>
  <c r="Y65" i="44"/>
  <c r="Y66" i="44"/>
  <c r="Y73" i="44"/>
  <c r="Y74" i="44"/>
  <c r="Y81" i="44"/>
  <c r="Y82" i="44"/>
  <c r="Y89" i="44"/>
  <c r="Y90" i="44"/>
  <c r="Y97" i="44"/>
  <c r="Y98" i="44"/>
  <c r="Y105" i="44"/>
  <c r="Y106" i="44"/>
  <c r="Y113" i="44"/>
  <c r="Y114" i="44"/>
  <c r="Y121" i="44"/>
  <c r="Y122" i="44"/>
  <c r="Y129" i="44"/>
  <c r="Y130" i="44"/>
  <c r="Y137" i="44"/>
  <c r="Y138" i="44"/>
  <c r="T30" i="44"/>
  <c r="Y42" i="44"/>
  <c r="Y44" i="44"/>
  <c r="O48" i="44"/>
  <c r="G48" i="44" s="1"/>
  <c r="Q48" i="44" s="1"/>
  <c r="O50" i="44"/>
  <c r="Y55" i="44"/>
  <c r="T58" i="44"/>
  <c r="U111" i="44"/>
  <c r="T50" i="44"/>
  <c r="T52" i="44"/>
  <c r="O56" i="44"/>
  <c r="Y57" i="44"/>
  <c r="Y58" i="44"/>
  <c r="Y63" i="44"/>
  <c r="O66" i="44"/>
  <c r="T68" i="44"/>
  <c r="Y71" i="44"/>
  <c r="O74" i="44"/>
  <c r="G74" i="44" s="1"/>
  <c r="Q74" i="44" s="1"/>
  <c r="T76" i="44"/>
  <c r="Y79" i="44"/>
  <c r="O82" i="44"/>
  <c r="G82" i="44"/>
  <c r="Q82" i="44" s="1"/>
  <c r="T84" i="44"/>
  <c r="Y87" i="44"/>
  <c r="O90" i="44"/>
  <c r="T92" i="44"/>
  <c r="Y95" i="44"/>
  <c r="O98" i="44"/>
  <c r="G98" i="44" s="1"/>
  <c r="Q98" i="44" s="1"/>
  <c r="T100" i="44"/>
  <c r="Y103" i="44"/>
  <c r="O106" i="44"/>
  <c r="G106" i="44" s="1"/>
  <c r="Q106" i="44" s="1"/>
  <c r="T108" i="44"/>
  <c r="Y111" i="44"/>
  <c r="O114" i="44"/>
  <c r="T116" i="44"/>
  <c r="Y119" i="44"/>
  <c r="O122" i="44"/>
  <c r="G122" i="44" s="1"/>
  <c r="Q122" i="44" s="1"/>
  <c r="T124" i="44"/>
  <c r="Y127" i="44"/>
  <c r="O130" i="44"/>
  <c r="G130" i="44" s="1"/>
  <c r="Q130" i="44" s="1"/>
  <c r="T132" i="44"/>
  <c r="Y135" i="44"/>
  <c r="T140" i="44"/>
  <c r="O139" i="44"/>
  <c r="G139" i="44" s="1"/>
  <c r="Q139" i="44" s="1"/>
  <c r="O137" i="44"/>
  <c r="G137" i="44" s="1"/>
  <c r="Q137" i="44" s="1"/>
  <c r="O135" i="44"/>
  <c r="G135" i="44" s="1"/>
  <c r="Q135" i="44" s="1"/>
  <c r="O133" i="44"/>
  <c r="G133" i="44" s="1"/>
  <c r="Q133" i="44" s="1"/>
  <c r="O131" i="44"/>
  <c r="G131" i="44" s="1"/>
  <c r="Q131" i="44" s="1"/>
  <c r="O129" i="44"/>
  <c r="G129" i="44" s="1"/>
  <c r="Q129" i="44" s="1"/>
  <c r="O127" i="44"/>
  <c r="G127" i="44" s="1"/>
  <c r="Q127" i="44" s="1"/>
  <c r="O125" i="44"/>
  <c r="G125" i="44" s="1"/>
  <c r="Q125" i="44" s="1"/>
  <c r="O123" i="44"/>
  <c r="G123" i="44" s="1"/>
  <c r="Q123" i="44" s="1"/>
  <c r="O121" i="44"/>
  <c r="G121" i="44" s="1"/>
  <c r="Q121" i="44" s="1"/>
  <c r="O119" i="44"/>
  <c r="G119" i="44" s="1"/>
  <c r="Q119" i="44" s="1"/>
  <c r="O117" i="44"/>
  <c r="G117" i="44" s="1"/>
  <c r="Q117" i="44" s="1"/>
  <c r="O115" i="44"/>
  <c r="G115" i="44" s="1"/>
  <c r="Q115" i="44" s="1"/>
  <c r="O113" i="44"/>
  <c r="G113" i="44" s="1"/>
  <c r="Q113" i="44" s="1"/>
  <c r="O111" i="44"/>
  <c r="G111" i="44" s="1"/>
  <c r="Q111" i="44" s="1"/>
  <c r="O109" i="44"/>
  <c r="G109" i="44" s="1"/>
  <c r="Q109" i="44" s="1"/>
  <c r="O107" i="44"/>
  <c r="G107" i="44" s="1"/>
  <c r="Q107" i="44" s="1"/>
  <c r="O105" i="44"/>
  <c r="G105" i="44" s="1"/>
  <c r="Q105" i="44" s="1"/>
  <c r="O103" i="44"/>
  <c r="G103" i="44" s="1"/>
  <c r="Q103" i="44" s="1"/>
  <c r="O101" i="44"/>
  <c r="G101" i="44" s="1"/>
  <c r="Q101" i="44" s="1"/>
  <c r="O99" i="44"/>
  <c r="G99" i="44" s="1"/>
  <c r="Q99" i="44" s="1"/>
  <c r="O97" i="44"/>
  <c r="G97" i="44" s="1"/>
  <c r="Q97" i="44" s="1"/>
  <c r="O95" i="44"/>
  <c r="G95" i="44" s="1"/>
  <c r="Q95" i="44" s="1"/>
  <c r="O93" i="44"/>
  <c r="G93" i="44" s="1"/>
  <c r="Q93" i="44" s="1"/>
  <c r="O91" i="44"/>
  <c r="G91" i="44" s="1"/>
  <c r="Q91" i="44" s="1"/>
  <c r="O89" i="44"/>
  <c r="G89" i="44" s="1"/>
  <c r="Q89" i="44" s="1"/>
  <c r="O87" i="44"/>
  <c r="G87" i="44" s="1"/>
  <c r="Q87" i="44" s="1"/>
  <c r="O85" i="44"/>
  <c r="G85" i="44" s="1"/>
  <c r="Q85" i="44" s="1"/>
  <c r="O83" i="44"/>
  <c r="G83" i="44" s="1"/>
  <c r="Q83" i="44" s="1"/>
  <c r="O81" i="44"/>
  <c r="G81" i="44" s="1"/>
  <c r="Q81" i="44" s="1"/>
  <c r="O79" i="44"/>
  <c r="G79" i="44" s="1"/>
  <c r="Q79" i="44" s="1"/>
  <c r="O77" i="44"/>
  <c r="G77" i="44" s="1"/>
  <c r="Q77" i="44" s="1"/>
  <c r="O75" i="44"/>
  <c r="G75" i="44" s="1"/>
  <c r="Q75" i="44" s="1"/>
  <c r="O73" i="44"/>
  <c r="G73" i="44" s="1"/>
  <c r="Q73" i="44" s="1"/>
  <c r="O71" i="44"/>
  <c r="G71" i="44" s="1"/>
  <c r="Q71" i="44" s="1"/>
  <c r="O69" i="44"/>
  <c r="G69" i="44" s="1"/>
  <c r="Q69" i="44" s="1"/>
  <c r="O67" i="44"/>
  <c r="G67" i="44" s="1"/>
  <c r="Q67" i="44" s="1"/>
  <c r="O65" i="44"/>
  <c r="G65" i="44" s="1"/>
  <c r="Q65" i="44" s="1"/>
  <c r="O63" i="44"/>
  <c r="G63" i="44" s="1"/>
  <c r="Q63" i="44" s="1"/>
  <c r="O61" i="44"/>
  <c r="O59" i="44"/>
  <c r="O57" i="44"/>
  <c r="G57" i="44" s="1"/>
  <c r="Q57" i="44" s="1"/>
  <c r="O55" i="44"/>
  <c r="G55" i="44" s="1"/>
  <c r="Q55" i="44" s="1"/>
  <c r="O53" i="44"/>
  <c r="G53" i="44" s="1"/>
  <c r="Q53" i="44" s="1"/>
  <c r="O51" i="44"/>
  <c r="O49" i="44"/>
  <c r="O47" i="44"/>
  <c r="O45" i="44"/>
  <c r="O43" i="44"/>
  <c r="G43" i="44" s="1"/>
  <c r="Q43" i="44" s="1"/>
  <c r="O134" i="44"/>
  <c r="G134" i="44" s="1"/>
  <c r="Q134" i="44" s="1"/>
  <c r="O126" i="44"/>
  <c r="G126" i="44" s="1"/>
  <c r="Q126" i="44" s="1"/>
  <c r="O118" i="44"/>
  <c r="G118" i="44" s="1"/>
  <c r="Q118" i="44" s="1"/>
  <c r="O110" i="44"/>
  <c r="G110" i="44" s="1"/>
  <c r="Q110" i="44" s="1"/>
  <c r="O102" i="44"/>
  <c r="G102" i="44" s="1"/>
  <c r="Q102" i="44" s="1"/>
  <c r="O94" i="44"/>
  <c r="G94" i="44" s="1"/>
  <c r="Q94" i="44" s="1"/>
  <c r="O86" i="44"/>
  <c r="G86" i="44" s="1"/>
  <c r="Q86" i="44" s="1"/>
  <c r="O78" i="44"/>
  <c r="G78" i="44" s="1"/>
  <c r="Q78" i="44" s="1"/>
  <c r="O70" i="44"/>
  <c r="G70" i="44" s="1"/>
  <c r="Q70" i="44" s="1"/>
  <c r="O62" i="44"/>
  <c r="G62" i="44" s="1"/>
  <c r="Q62" i="44" s="1"/>
  <c r="O54" i="44"/>
  <c r="O46" i="44"/>
  <c r="O42" i="44"/>
  <c r="G42" i="44" s="1"/>
  <c r="Q42" i="44" s="1"/>
  <c r="O140" i="44"/>
  <c r="G140" i="44" s="1"/>
  <c r="Q140" i="44" s="1"/>
  <c r="O132" i="44"/>
  <c r="G132" i="44" s="1"/>
  <c r="Q132" i="44" s="1"/>
  <c r="O124" i="44"/>
  <c r="G124" i="44" s="1"/>
  <c r="Q124" i="44" s="1"/>
  <c r="O108" i="44"/>
  <c r="G108" i="44" s="1"/>
  <c r="Q108" i="44" s="1"/>
  <c r="O100" i="44"/>
  <c r="G100" i="44" s="1"/>
  <c r="Q100" i="44" s="1"/>
  <c r="O92" i="44"/>
  <c r="G92" i="44" s="1"/>
  <c r="Q92" i="44" s="1"/>
  <c r="O84" i="44"/>
  <c r="G84" i="44" s="1"/>
  <c r="Q84" i="44" s="1"/>
  <c r="O44" i="44"/>
  <c r="G44" i="44" s="1"/>
  <c r="Q44" i="44" s="1"/>
  <c r="O116" i="44"/>
  <c r="G116" i="44" s="1"/>
  <c r="Q116" i="44" s="1"/>
  <c r="O76" i="44"/>
  <c r="G76" i="44" s="1"/>
  <c r="Q76" i="44" s="1"/>
  <c r="O68" i="44"/>
  <c r="G68" i="44" s="1"/>
  <c r="Q68" i="44" s="1"/>
  <c r="O60" i="44"/>
  <c r="G60" i="44" s="1"/>
  <c r="Q60" i="44" s="1"/>
  <c r="O52" i="44"/>
  <c r="G52" i="44" s="1"/>
  <c r="Q52" i="44" s="1"/>
  <c r="T66" i="44"/>
  <c r="T74" i="44"/>
  <c r="T82" i="44"/>
  <c r="T90" i="44"/>
  <c r="T98" i="44"/>
  <c r="T106" i="44"/>
  <c r="T114" i="44"/>
  <c r="T122" i="44"/>
  <c r="T130" i="44"/>
  <c r="T32" i="44"/>
  <c r="S138" i="44"/>
  <c r="S133" i="44"/>
  <c r="S130" i="44"/>
  <c r="S125" i="44"/>
  <c r="S122" i="44"/>
  <c r="S117" i="44"/>
  <c r="S114" i="44"/>
  <c r="S109" i="44"/>
  <c r="S106" i="44"/>
  <c r="S101" i="44"/>
  <c r="S98" i="44"/>
  <c r="S93" i="44"/>
  <c r="S90" i="44"/>
  <c r="S85" i="44"/>
  <c r="S82" i="44"/>
  <c r="S77" i="44"/>
  <c r="S74" i="44"/>
  <c r="S69" i="44"/>
  <c r="S66" i="44"/>
  <c r="S61" i="44"/>
  <c r="S58" i="44"/>
  <c r="S53" i="44"/>
  <c r="S50" i="44"/>
  <c r="S45" i="44"/>
  <c r="S139" i="44"/>
  <c r="S131" i="44"/>
  <c r="S128" i="44"/>
  <c r="S123" i="44"/>
  <c r="S120" i="44"/>
  <c r="S107" i="44"/>
  <c r="S99" i="44"/>
  <c r="S96" i="44"/>
  <c r="S91" i="44"/>
  <c r="S83" i="44"/>
  <c r="S80" i="44"/>
  <c r="S56" i="44"/>
  <c r="S48" i="44"/>
  <c r="S43" i="44"/>
  <c r="S42" i="44"/>
  <c r="S136" i="44"/>
  <c r="S115" i="44"/>
  <c r="S112" i="44"/>
  <c r="S104" i="44"/>
  <c r="S88" i="44"/>
  <c r="S75" i="44"/>
  <c r="S72" i="44"/>
  <c r="S67" i="44"/>
  <c r="S64" i="44"/>
  <c r="S59" i="44"/>
  <c r="S51" i="44"/>
  <c r="T139" i="44"/>
  <c r="T137" i="44"/>
  <c r="T135" i="44"/>
  <c r="T133" i="44"/>
  <c r="T131" i="44"/>
  <c r="T129" i="44"/>
  <c r="T127" i="44"/>
  <c r="T125" i="44"/>
  <c r="T123" i="44"/>
  <c r="T121" i="44"/>
  <c r="T119" i="44"/>
  <c r="T117" i="44"/>
  <c r="T115" i="44"/>
  <c r="T113" i="44"/>
  <c r="T111" i="44"/>
  <c r="T109" i="44"/>
  <c r="T107" i="44"/>
  <c r="T105" i="44"/>
  <c r="T103" i="44"/>
  <c r="T101" i="44"/>
  <c r="T99" i="44"/>
  <c r="T97" i="44"/>
  <c r="T95" i="44"/>
  <c r="T93" i="44"/>
  <c r="T91" i="44"/>
  <c r="T89" i="44"/>
  <c r="T87" i="44"/>
  <c r="T85" i="44"/>
  <c r="T83" i="44"/>
  <c r="T81" i="44"/>
  <c r="T79" i="44"/>
  <c r="T77" i="44"/>
  <c r="T75" i="44"/>
  <c r="T73" i="44"/>
  <c r="T71" i="44"/>
  <c r="T69" i="44"/>
  <c r="T67" i="44"/>
  <c r="T65" i="44"/>
  <c r="T63" i="44"/>
  <c r="T57" i="44"/>
  <c r="T55" i="44"/>
  <c r="T53" i="44"/>
  <c r="T43" i="44"/>
  <c r="T136" i="44"/>
  <c r="T128" i="44"/>
  <c r="T120" i="44"/>
  <c r="T112" i="44"/>
  <c r="T104" i="44"/>
  <c r="T96" i="44"/>
  <c r="T88" i="44"/>
  <c r="T80" i="44"/>
  <c r="T72" i="44"/>
  <c r="T64" i="44"/>
  <c r="T48" i="44"/>
  <c r="T42" i="44"/>
  <c r="T134" i="44"/>
  <c r="T126" i="44"/>
  <c r="T110" i="44"/>
  <c r="T102" i="44"/>
  <c r="T62" i="44"/>
  <c r="T118" i="44"/>
  <c r="T94" i="44"/>
  <c r="T86" i="44"/>
  <c r="T78" i="44"/>
  <c r="T70" i="44"/>
  <c r="S60" i="44"/>
  <c r="S62" i="44"/>
  <c r="S68" i="44"/>
  <c r="S70" i="44"/>
  <c r="S76" i="44"/>
  <c r="S78" i="44"/>
  <c r="S84" i="44"/>
  <c r="S86" i="44"/>
  <c r="S92" i="44"/>
  <c r="S94" i="44"/>
  <c r="S100" i="44"/>
  <c r="S102" i="44"/>
  <c r="S108" i="44"/>
  <c r="S110" i="44"/>
  <c r="S116" i="44"/>
  <c r="S118" i="44"/>
  <c r="S124" i="44"/>
  <c r="S126" i="44"/>
  <c r="S132" i="44"/>
  <c r="S134" i="44"/>
  <c r="S140" i="44"/>
  <c r="Y43" i="44"/>
  <c r="Y62" i="44"/>
  <c r="Y67" i="44"/>
  <c r="U73" i="44"/>
  <c r="Y75" i="44"/>
  <c r="U76" i="44"/>
  <c r="Y86" i="44"/>
  <c r="U89" i="44"/>
  <c r="Y91" i="44"/>
  <c r="U92" i="44"/>
  <c r="Y102" i="44"/>
  <c r="U105" i="44"/>
  <c r="Y107" i="44"/>
  <c r="U108" i="44"/>
  <c r="Y110" i="44"/>
  <c r="U113" i="44"/>
  <c r="Y115" i="44"/>
  <c r="U116" i="44"/>
  <c r="Y123" i="44"/>
  <c r="Y134" i="44"/>
  <c r="Y70" i="44"/>
  <c r="Y78" i="44"/>
  <c r="U81" i="44"/>
  <c r="Y83" i="44"/>
  <c r="U84" i="44"/>
  <c r="Y94" i="44"/>
  <c r="U97" i="44"/>
  <c r="Y99" i="44"/>
  <c r="U100" i="44"/>
  <c r="Y118" i="44"/>
  <c r="U121" i="44"/>
  <c r="Y126" i="44"/>
  <c r="Y131" i="44"/>
  <c r="U137" i="44"/>
  <c r="Y139" i="44"/>
  <c r="U140" i="44"/>
  <c r="M43" i="44"/>
  <c r="M48" i="44"/>
  <c r="Y48" i="44"/>
  <c r="M51" i="44"/>
  <c r="Y53" i="44"/>
  <c r="M56" i="44"/>
  <c r="M59" i="44"/>
  <c r="U59" i="44"/>
  <c r="M64" i="44"/>
  <c r="Y64" i="44"/>
  <c r="M67" i="44"/>
  <c r="U67" i="44"/>
  <c r="Y69" i="44"/>
  <c r="U70" i="44"/>
  <c r="M72" i="44"/>
  <c r="Y72" i="44"/>
  <c r="M75" i="44"/>
  <c r="U75" i="44"/>
  <c r="Y77" i="44"/>
  <c r="U78" i="44"/>
  <c r="M80" i="44"/>
  <c r="Y80" i="44"/>
  <c r="M83" i="44"/>
  <c r="U83" i="44"/>
  <c r="Y85" i="44"/>
  <c r="U86" i="44"/>
  <c r="M88" i="44"/>
  <c r="Y88" i="44"/>
  <c r="M91" i="44"/>
  <c r="U91" i="44"/>
  <c r="Y93" i="44"/>
  <c r="U94" i="44"/>
  <c r="M96" i="44"/>
  <c r="AU67" i="46" s="1"/>
  <c r="Y96" i="44"/>
  <c r="M99" i="44"/>
  <c r="U99" i="44"/>
  <c r="Y101" i="44"/>
  <c r="U102" i="44"/>
  <c r="M104" i="44"/>
  <c r="Y104" i="44"/>
  <c r="M107" i="44"/>
  <c r="U107" i="44"/>
  <c r="Y109" i="44"/>
  <c r="U110" i="44"/>
  <c r="M112" i="44"/>
  <c r="Y112" i="44"/>
  <c r="M115" i="44"/>
  <c r="U115" i="44"/>
  <c r="Y117" i="44"/>
  <c r="U118" i="44"/>
  <c r="M120" i="44"/>
  <c r="Y120" i="44"/>
  <c r="M123" i="44"/>
  <c r="U123" i="44"/>
  <c r="Y125" i="44"/>
  <c r="U126" i="44"/>
  <c r="M128" i="44"/>
  <c r="Y128" i="44"/>
  <c r="M131" i="44"/>
  <c r="U131" i="44"/>
  <c r="Y133" i="44"/>
  <c r="U134" i="44"/>
  <c r="M136" i="44"/>
  <c r="A134" i="46"/>
  <c r="BG3" i="46"/>
  <c r="AI305" i="23"/>
  <c r="AI297" i="23"/>
  <c r="AI289" i="23"/>
  <c r="J288" i="23" s="1"/>
  <c r="AJ38" i="23" s="1"/>
  <c r="AI262" i="23"/>
  <c r="AA254" i="23"/>
  <c r="AI254" i="23" s="1"/>
  <c r="AI255" i="23"/>
  <c r="AI253" i="23"/>
  <c r="AI249" i="23"/>
  <c r="AJ229" i="23"/>
  <c r="AI229" i="23"/>
  <c r="AI226" i="23"/>
  <c r="AI223" i="23"/>
  <c r="Q62" i="46" s="1"/>
  <c r="W63" i="46" s="1"/>
  <c r="D63" i="46" s="1"/>
  <c r="B22" i="40"/>
  <c r="B63" i="40" s="1"/>
  <c r="R64" i="40" s="1"/>
  <c r="A54" i="40"/>
  <c r="A12" i="40"/>
  <c r="L2" i="40"/>
  <c r="B19" i="40"/>
  <c r="B60" i="40" s="1"/>
  <c r="L44" i="40"/>
  <c r="K49" i="40"/>
  <c r="K48" i="40"/>
  <c r="P74" i="40"/>
  <c r="J67" i="40"/>
  <c r="S68" i="40" s="1"/>
  <c r="D67" i="40"/>
  <c r="R68" i="40" s="1"/>
  <c r="S26" i="40"/>
  <c r="AI159" i="23"/>
  <c r="AA156" i="23" s="1"/>
  <c r="AI156" i="23" s="1"/>
  <c r="AI166" i="23"/>
  <c r="AI161" i="23"/>
  <c r="AA110" i="23"/>
  <c r="AI128" i="23"/>
  <c r="AI124" i="23"/>
  <c r="AI123" i="23"/>
  <c r="AI122" i="23"/>
  <c r="AI120" i="23"/>
  <c r="AI113" i="23"/>
  <c r="AI112" i="23"/>
  <c r="AI111" i="23"/>
  <c r="AI109" i="23"/>
  <c r="AI108" i="23"/>
  <c r="AI107" i="23"/>
  <c r="AI105" i="23"/>
  <c r="AC6" i="37"/>
  <c r="AC20" i="37"/>
  <c r="Z14" i="37"/>
  <c r="AC15" i="37" s="1"/>
  <c r="Z12" i="37"/>
  <c r="AC13" i="37" s="1"/>
  <c r="Z10" i="37"/>
  <c r="AC11" i="37" s="1"/>
  <c r="AC7" i="37"/>
  <c r="AU49" i="46"/>
  <c r="AS49" i="46" s="1"/>
  <c r="AU85" i="46"/>
  <c r="AU48" i="46"/>
  <c r="AS48" i="46" s="1"/>
  <c r="AU80" i="46"/>
  <c r="AU35" i="46"/>
  <c r="AS35" i="46" s="1"/>
  <c r="AU103" i="46"/>
  <c r="AU89" i="46"/>
  <c r="AS89" i="46" s="1"/>
  <c r="AU61" i="46"/>
  <c r="AU58" i="46"/>
  <c r="AU106" i="46"/>
  <c r="AU108" i="46"/>
  <c r="BI108" i="46" s="1"/>
  <c r="AU30" i="46"/>
  <c r="AU95" i="46"/>
  <c r="AI83" i="23"/>
  <c r="AI76" i="23"/>
  <c r="AI71" i="23"/>
  <c r="J70" i="23" s="1"/>
  <c r="AJ20" i="23" s="1"/>
  <c r="AI65" i="23"/>
  <c r="AA64" i="23" s="1"/>
  <c r="AI64" i="23" s="1"/>
  <c r="AI61" i="23"/>
  <c r="R31" i="46" s="1"/>
  <c r="D32" i="46" s="1"/>
  <c r="AI59" i="23"/>
  <c r="AI58" i="23"/>
  <c r="AI57" i="23"/>
  <c r="AI19" i="23"/>
  <c r="AI40" i="23" s="1"/>
  <c r="F41" i="46"/>
  <c r="C57" i="24"/>
  <c r="AB273" i="23"/>
  <c r="H274" i="23" s="1"/>
  <c r="X270" i="23"/>
  <c r="H233" i="23"/>
  <c r="AB282" i="23"/>
  <c r="AJ282" i="23" s="1"/>
  <c r="AB280" i="23"/>
  <c r="AJ280" i="23" s="1"/>
  <c r="AC277" i="23"/>
  <c r="AC276" i="23"/>
  <c r="AC275" i="23"/>
  <c r="W277" i="23"/>
  <c r="W276" i="23"/>
  <c r="W275" i="23"/>
  <c r="Q277" i="23"/>
  <c r="Q276" i="23"/>
  <c r="Q275" i="23"/>
  <c r="K277" i="23"/>
  <c r="K276" i="23"/>
  <c r="K275" i="23"/>
  <c r="AJ275" i="23" s="1"/>
  <c r="X271" i="23"/>
  <c r="AJ270" i="23" s="1"/>
  <c r="V33" i="23"/>
  <c r="P15" i="27"/>
  <c r="O15" i="27"/>
  <c r="P14" i="27"/>
  <c r="O14" i="27"/>
  <c r="V31" i="23"/>
  <c r="AI270" i="23"/>
  <c r="AJ239" i="23"/>
  <c r="V15" i="27"/>
  <c r="N15" i="27"/>
  <c r="N14" i="27"/>
  <c r="D4" i="34"/>
  <c r="F4" i="34"/>
  <c r="H4" i="34" s="1"/>
  <c r="J4" i="34" s="1"/>
  <c r="C4" i="34"/>
  <c r="E4" i="34"/>
  <c r="G4" i="34" s="1"/>
  <c r="I4" i="34" s="1"/>
  <c r="C3" i="34"/>
  <c r="E3" i="34" s="1"/>
  <c r="G3" i="34" s="1"/>
  <c r="I3" i="34" s="1"/>
  <c r="AJ241" i="23"/>
  <c r="AI15" i="23"/>
  <c r="AJ15" i="23" s="1"/>
  <c r="AI14" i="23"/>
  <c r="A195" i="23"/>
  <c r="H195" i="23" s="1"/>
  <c r="A198" i="23"/>
  <c r="N198" i="23" s="1"/>
  <c r="A201" i="23"/>
  <c r="F201" i="23" s="1"/>
  <c r="A204" i="23"/>
  <c r="Z204" i="23" s="1"/>
  <c r="A207" i="23"/>
  <c r="L207" i="23" s="1"/>
  <c r="AI110" i="23"/>
  <c r="AA138" i="23"/>
  <c r="K15" i="27"/>
  <c r="V5" i="32"/>
  <c r="V6" i="32"/>
  <c r="V7" i="32"/>
  <c r="V8" i="32"/>
  <c r="V9" i="32"/>
  <c r="V10" i="32"/>
  <c r="V11" i="32"/>
  <c r="V12" i="32"/>
  <c r="V13" i="32"/>
  <c r="V14" i="32"/>
  <c r="V15" i="32"/>
  <c r="V16" i="32"/>
  <c r="V17" i="32"/>
  <c r="V18" i="32"/>
  <c r="V19" i="32"/>
  <c r="V20" i="32"/>
  <c r="V21" i="32"/>
  <c r="V22" i="32"/>
  <c r="V23" i="32"/>
  <c r="V24" i="32"/>
  <c r="V25" i="32"/>
  <c r="V26" i="32"/>
  <c r="V27" i="32"/>
  <c r="V28" i="32"/>
  <c r="V29" i="32"/>
  <c r="V30" i="32"/>
  <c r="V31" i="32"/>
  <c r="V32" i="32"/>
  <c r="V33" i="32"/>
  <c r="V34" i="32"/>
  <c r="V35" i="32"/>
  <c r="V36" i="32"/>
  <c r="V37" i="32"/>
  <c r="V38" i="32"/>
  <c r="V39" i="32"/>
  <c r="V40" i="32"/>
  <c r="V41" i="32"/>
  <c r="V42" i="32"/>
  <c r="V43" i="32"/>
  <c r="V44" i="32"/>
  <c r="V45" i="32"/>
  <c r="V46" i="32"/>
  <c r="V47" i="32"/>
  <c r="V48" i="32"/>
  <c r="V49" i="32"/>
  <c r="V50" i="32"/>
  <c r="V51" i="32"/>
  <c r="V52" i="32"/>
  <c r="V53" i="32"/>
  <c r="V54" i="32"/>
  <c r="V55" i="32"/>
  <c r="V56" i="32"/>
  <c r="V57" i="32"/>
  <c r="V58" i="32"/>
  <c r="V59" i="32"/>
  <c r="V60" i="32"/>
  <c r="V61" i="32"/>
  <c r="V62" i="32"/>
  <c r="V63" i="32"/>
  <c r="V64" i="32"/>
  <c r="V65" i="32"/>
  <c r="V66" i="32"/>
  <c r="V67" i="32"/>
  <c r="V68" i="32"/>
  <c r="V69" i="32"/>
  <c r="V70" i="32"/>
  <c r="V71" i="32"/>
  <c r="V72" i="32"/>
  <c r="V73" i="32"/>
  <c r="V74" i="32"/>
  <c r="V75" i="32"/>
  <c r="V76" i="32"/>
  <c r="V77" i="32"/>
  <c r="V78" i="32"/>
  <c r="V79" i="32"/>
  <c r="V80" i="32"/>
  <c r="V81" i="32"/>
  <c r="V82" i="32"/>
  <c r="V83" i="32"/>
  <c r="V84" i="32"/>
  <c r="V85" i="32"/>
  <c r="V86" i="32"/>
  <c r="V87" i="32"/>
  <c r="V88" i="32"/>
  <c r="V89" i="32"/>
  <c r="V90" i="32"/>
  <c r="V91" i="32"/>
  <c r="V92" i="32"/>
  <c r="V93" i="32"/>
  <c r="V94" i="32"/>
  <c r="V95" i="32"/>
  <c r="V96" i="32"/>
  <c r="V97" i="32"/>
  <c r="V98" i="32"/>
  <c r="V99" i="32"/>
  <c r="V100" i="32"/>
  <c r="V101" i="32"/>
  <c r="V102" i="32"/>
  <c r="V103" i="32"/>
  <c r="V104" i="32"/>
  <c r="V105" i="32"/>
  <c r="V106" i="32"/>
  <c r="V107" i="32"/>
  <c r="V108" i="32"/>
  <c r="V109" i="32"/>
  <c r="V110" i="32"/>
  <c r="V111" i="32"/>
  <c r="V112" i="32"/>
  <c r="V113" i="32"/>
  <c r="V114" i="32"/>
  <c r="V115" i="32"/>
  <c r="V116" i="32"/>
  <c r="V117" i="32"/>
  <c r="V118" i="32"/>
  <c r="V119" i="32"/>
  <c r="V120" i="32"/>
  <c r="V121" i="32"/>
  <c r="V122" i="32"/>
  <c r="V123" i="32"/>
  <c r="V124" i="32"/>
  <c r="V125" i="32"/>
  <c r="V126" i="32"/>
  <c r="V127" i="32"/>
  <c r="V128" i="32"/>
  <c r="V129" i="32"/>
  <c r="V130" i="32"/>
  <c r="V131" i="32"/>
  <c r="V132" i="32"/>
  <c r="V133" i="32"/>
  <c r="V134" i="32"/>
  <c r="V135" i="32"/>
  <c r="V136" i="32"/>
  <c r="V137" i="32"/>
  <c r="V138" i="32"/>
  <c r="V139" i="32"/>
  <c r="V140" i="32"/>
  <c r="V141" i="32"/>
  <c r="V142" i="32"/>
  <c r="V143" i="32"/>
  <c r="V144" i="32"/>
  <c r="V145" i="32"/>
  <c r="V146" i="32"/>
  <c r="V147" i="32"/>
  <c r="V148" i="32"/>
  <c r="V149" i="32"/>
  <c r="V150" i="32"/>
  <c r="V151" i="32"/>
  <c r="V152" i="32"/>
  <c r="V153" i="32"/>
  <c r="V154" i="32"/>
  <c r="V155" i="32"/>
  <c r="V156" i="32"/>
  <c r="V157" i="32"/>
  <c r="V158" i="32"/>
  <c r="V159" i="32"/>
  <c r="V160" i="32"/>
  <c r="V161" i="32"/>
  <c r="V162" i="32"/>
  <c r="V163" i="32"/>
  <c r="V164" i="32"/>
  <c r="V165" i="32"/>
  <c r="V166" i="32"/>
  <c r="V167" i="32"/>
  <c r="V168" i="32"/>
  <c r="V169" i="32"/>
  <c r="V170" i="32"/>
  <c r="V171" i="32"/>
  <c r="V172" i="32"/>
  <c r="V173" i="32"/>
  <c r="V174" i="32"/>
  <c r="V175" i="32"/>
  <c r="V176" i="32"/>
  <c r="V177" i="32"/>
  <c r="V178" i="32"/>
  <c r="V179" i="32"/>
  <c r="V180" i="32"/>
  <c r="V181" i="32"/>
  <c r="V182" i="32"/>
  <c r="V183" i="32"/>
  <c r="V184" i="32"/>
  <c r="V185" i="32"/>
  <c r="V186" i="32"/>
  <c r="V187" i="32"/>
  <c r="V188" i="32"/>
  <c r="V189" i="32"/>
  <c r="V190" i="32"/>
  <c r="V191" i="32"/>
  <c r="V192" i="32"/>
  <c r="V193" i="32"/>
  <c r="V194" i="32"/>
  <c r="V195" i="32"/>
  <c r="V196" i="32"/>
  <c r="V197" i="32"/>
  <c r="V198" i="32"/>
  <c r="V199" i="32"/>
  <c r="V200" i="32"/>
  <c r="V201" i="32"/>
  <c r="V202" i="32"/>
  <c r="V203" i="32"/>
  <c r="V204" i="32"/>
  <c r="V205" i="32"/>
  <c r="V206" i="32"/>
  <c r="V207" i="32"/>
  <c r="V208" i="32"/>
  <c r="V209" i="32"/>
  <c r="V210" i="32"/>
  <c r="V211" i="32"/>
  <c r="V212" i="32"/>
  <c r="V213" i="32"/>
  <c r="V214" i="32"/>
  <c r="V215" i="32"/>
  <c r="V216" i="32"/>
  <c r="V217" i="32"/>
  <c r="V218" i="32"/>
  <c r="V219" i="32"/>
  <c r="V220" i="32"/>
  <c r="V221" i="32"/>
  <c r="V222" i="32"/>
  <c r="V223" i="32"/>
  <c r="V224" i="32"/>
  <c r="V225" i="32"/>
  <c r="V226" i="32"/>
  <c r="V227" i="32"/>
  <c r="V228" i="32"/>
  <c r="V229" i="32"/>
  <c r="V230" i="32"/>
  <c r="V231" i="32"/>
  <c r="V232" i="32"/>
  <c r="V233" i="32"/>
  <c r="V234" i="32"/>
  <c r="V235" i="32"/>
  <c r="V236" i="32"/>
  <c r="V237" i="32"/>
  <c r="V238" i="32"/>
  <c r="V239" i="32"/>
  <c r="V240" i="32"/>
  <c r="V241" i="32"/>
  <c r="V242" i="32"/>
  <c r="V243" i="32"/>
  <c r="V244" i="32"/>
  <c r="V245" i="32"/>
  <c r="V246" i="32"/>
  <c r="V247" i="32"/>
  <c r="V248" i="32"/>
  <c r="V249" i="32"/>
  <c r="V250" i="32"/>
  <c r="V251" i="32"/>
  <c r="V252" i="32"/>
  <c r="V253" i="32"/>
  <c r="V254" i="32"/>
  <c r="V255" i="32"/>
  <c r="V256" i="32"/>
  <c r="V257" i="32"/>
  <c r="V258" i="32"/>
  <c r="V259" i="32"/>
  <c r="V260" i="32"/>
  <c r="V261" i="32"/>
  <c r="V262" i="32"/>
  <c r="V263" i="32"/>
  <c r="V264" i="32"/>
  <c r="V265" i="32"/>
  <c r="V266" i="32"/>
  <c r="V267" i="32"/>
  <c r="V268" i="32"/>
  <c r="V269" i="32"/>
  <c r="V270" i="32"/>
  <c r="V271" i="32"/>
  <c r="V272" i="32"/>
  <c r="V273" i="32"/>
  <c r="V274" i="32"/>
  <c r="V275" i="32"/>
  <c r="V276" i="32"/>
  <c r="V277" i="32"/>
  <c r="V278" i="32"/>
  <c r="V279" i="32"/>
  <c r="V280" i="32"/>
  <c r="V281" i="32"/>
  <c r="V282" i="32"/>
  <c r="V283" i="32"/>
  <c r="V284" i="32"/>
  <c r="V285" i="32"/>
  <c r="V286" i="32"/>
  <c r="V287" i="32"/>
  <c r="V288" i="32"/>
  <c r="V289" i="32"/>
  <c r="V290" i="32"/>
  <c r="V291" i="32"/>
  <c r="V292" i="32"/>
  <c r="V293" i="32"/>
  <c r="V294" i="32"/>
  <c r="V295" i="32"/>
  <c r="V296" i="32"/>
  <c r="V297" i="32"/>
  <c r="V298" i="32"/>
  <c r="V299" i="32"/>
  <c r="V300" i="32"/>
  <c r="V301" i="32"/>
  <c r="V302" i="32"/>
  <c r="V303" i="32"/>
  <c r="V304" i="32"/>
  <c r="V305" i="32"/>
  <c r="V306" i="32"/>
  <c r="V307" i="32"/>
  <c r="V308" i="32"/>
  <c r="V309" i="32"/>
  <c r="V310" i="32"/>
  <c r="V311" i="32"/>
  <c r="V312" i="32"/>
  <c r="V313" i="32"/>
  <c r="V314" i="32"/>
  <c r="V315" i="32"/>
  <c r="V316" i="32"/>
  <c r="V317" i="32"/>
  <c r="V318" i="32"/>
  <c r="V319" i="32"/>
  <c r="V320" i="32"/>
  <c r="V321" i="32"/>
  <c r="V322" i="32"/>
  <c r="V323" i="32"/>
  <c r="V324" i="32"/>
  <c r="V325" i="32"/>
  <c r="V326" i="32"/>
  <c r="V327" i="32"/>
  <c r="V328" i="32"/>
  <c r="V329" i="32"/>
  <c r="V330" i="32"/>
  <c r="V331" i="32"/>
  <c r="V332" i="32"/>
  <c r="V333" i="32"/>
  <c r="V334" i="32"/>
  <c r="V335" i="32"/>
  <c r="V336" i="32"/>
  <c r="V337" i="32"/>
  <c r="V338" i="32"/>
  <c r="V339" i="32"/>
  <c r="V340" i="32"/>
  <c r="V341" i="32"/>
  <c r="V342" i="32"/>
  <c r="V343" i="32"/>
  <c r="V344" i="32"/>
  <c r="V345" i="32"/>
  <c r="V346" i="32"/>
  <c r="V347" i="32"/>
  <c r="V348" i="32"/>
  <c r="V349" i="32"/>
  <c r="V350" i="32"/>
  <c r="V351" i="32"/>
  <c r="V352" i="32"/>
  <c r="V353" i="32"/>
  <c r="V354" i="32"/>
  <c r="V355" i="32"/>
  <c r="V356" i="32"/>
  <c r="V357" i="32"/>
  <c r="V358" i="32"/>
  <c r="V359" i="32"/>
  <c r="V360" i="32"/>
  <c r="V361" i="32"/>
  <c r="V362" i="32"/>
  <c r="V363" i="32"/>
  <c r="V364" i="32"/>
  <c r="V365" i="32"/>
  <c r="V366" i="32"/>
  <c r="V367" i="32"/>
  <c r="V368" i="32"/>
  <c r="V369" i="32"/>
  <c r="V370" i="32"/>
  <c r="V371" i="32"/>
  <c r="V372" i="32"/>
  <c r="V373" i="32"/>
  <c r="V374" i="32"/>
  <c r="V375" i="32"/>
  <c r="V376" i="32"/>
  <c r="V377" i="32"/>
  <c r="V378" i="32"/>
  <c r="V379" i="32"/>
  <c r="V380" i="32"/>
  <c r="V381" i="32"/>
  <c r="V382" i="32"/>
  <c r="V383" i="32"/>
  <c r="V384" i="32"/>
  <c r="V385" i="32"/>
  <c r="V386" i="32"/>
  <c r="V387" i="32"/>
  <c r="V388" i="32"/>
  <c r="V389" i="32"/>
  <c r="V390" i="32"/>
  <c r="V391" i="32"/>
  <c r="V392" i="32"/>
  <c r="V393" i="32"/>
  <c r="V394" i="32"/>
  <c r="V395" i="32"/>
  <c r="V396" i="32"/>
  <c r="V397" i="32"/>
  <c r="V398" i="32"/>
  <c r="V399" i="32"/>
  <c r="V400" i="32"/>
  <c r="V401" i="32"/>
  <c r="V402" i="32"/>
  <c r="V403" i="32"/>
  <c r="V404" i="32"/>
  <c r="V405" i="32"/>
  <c r="V406" i="32"/>
  <c r="V407" i="32"/>
  <c r="V408" i="32"/>
  <c r="V409" i="32"/>
  <c r="V410" i="32"/>
  <c r="V411" i="32"/>
  <c r="V412" i="32"/>
  <c r="V413" i="32"/>
  <c r="V414" i="32"/>
  <c r="V415" i="32"/>
  <c r="V416" i="32"/>
  <c r="V417" i="32"/>
  <c r="V418" i="32"/>
  <c r="V419" i="32"/>
  <c r="V420" i="32"/>
  <c r="V421" i="32"/>
  <c r="V422" i="32"/>
  <c r="V423" i="32"/>
  <c r="V424" i="32"/>
  <c r="V425" i="32"/>
  <c r="V426" i="32"/>
  <c r="V427" i="32"/>
  <c r="V428" i="32"/>
  <c r="V429" i="32"/>
  <c r="V430" i="32"/>
  <c r="V431" i="32"/>
  <c r="V432" i="32"/>
  <c r="V433" i="32"/>
  <c r="V434" i="32"/>
  <c r="V435" i="32"/>
  <c r="V436" i="32"/>
  <c r="V437" i="32"/>
  <c r="V438" i="32"/>
  <c r="V439" i="32"/>
  <c r="V440" i="32"/>
  <c r="V441" i="32"/>
  <c r="V442" i="32"/>
  <c r="V443" i="32"/>
  <c r="V444" i="32"/>
  <c r="V445" i="32"/>
  <c r="V446" i="32"/>
  <c r="V447" i="32"/>
  <c r="V448" i="32"/>
  <c r="V449" i="32"/>
  <c r="V450" i="32"/>
  <c r="V451" i="32"/>
  <c r="V452" i="32"/>
  <c r="V453" i="32"/>
  <c r="V454" i="32"/>
  <c r="V455" i="32"/>
  <c r="V456" i="32"/>
  <c r="V457" i="32"/>
  <c r="V458" i="32"/>
  <c r="V459" i="32"/>
  <c r="V460" i="32"/>
  <c r="V461" i="32"/>
  <c r="V462" i="32"/>
  <c r="V463" i="32"/>
  <c r="V464" i="32"/>
  <c r="V465" i="32"/>
  <c r="V466" i="32"/>
  <c r="V467" i="32"/>
  <c r="V468" i="32"/>
  <c r="V469" i="32"/>
  <c r="V470" i="32"/>
  <c r="V471" i="32"/>
  <c r="V472" i="32"/>
  <c r="V473" i="32"/>
  <c r="V474" i="32"/>
  <c r="V475" i="32"/>
  <c r="V476" i="32"/>
  <c r="V477" i="32"/>
  <c r="V478" i="32"/>
  <c r="V479" i="32"/>
  <c r="V480" i="32"/>
  <c r="V481" i="32"/>
  <c r="V482" i="32"/>
  <c r="V483" i="32"/>
  <c r="V484" i="32"/>
  <c r="V485" i="32"/>
  <c r="V486" i="32"/>
  <c r="V487" i="32"/>
  <c r="V488" i="32"/>
  <c r="V489" i="32"/>
  <c r="V490" i="32"/>
  <c r="V491" i="32"/>
  <c r="V492" i="32"/>
  <c r="V493" i="32"/>
  <c r="V494" i="32"/>
  <c r="V495" i="32"/>
  <c r="V496" i="32"/>
  <c r="V497" i="32"/>
  <c r="V498" i="32"/>
  <c r="V499" i="32"/>
  <c r="V500" i="32"/>
  <c r="V501" i="32"/>
  <c r="V502" i="32"/>
  <c r="V503" i="32"/>
  <c r="V504" i="32"/>
  <c r="V505" i="32"/>
  <c r="V506" i="32"/>
  <c r="V507" i="32"/>
  <c r="V508" i="32"/>
  <c r="V509" i="32"/>
  <c r="V510" i="32"/>
  <c r="V511" i="32"/>
  <c r="V512" i="32"/>
  <c r="V513" i="32"/>
  <c r="V514" i="32"/>
  <c r="V515" i="32"/>
  <c r="V516" i="32"/>
  <c r="V517" i="32"/>
  <c r="V518" i="32"/>
  <c r="V519" i="32"/>
  <c r="V520" i="32"/>
  <c r="V521" i="32"/>
  <c r="V522" i="32"/>
  <c r="V523" i="32"/>
  <c r="V524" i="32"/>
  <c r="V525" i="32"/>
  <c r="V526" i="32"/>
  <c r="V527" i="32"/>
  <c r="V528" i="32"/>
  <c r="V529" i="32"/>
  <c r="V530" i="32"/>
  <c r="V531" i="32"/>
  <c r="V532" i="32"/>
  <c r="V533" i="32"/>
  <c r="V534" i="32"/>
  <c r="V535" i="32"/>
  <c r="V536" i="32"/>
  <c r="V537" i="32"/>
  <c r="V538" i="32"/>
  <c r="V539" i="32"/>
  <c r="V540" i="32"/>
  <c r="V541" i="32"/>
  <c r="V542" i="32"/>
  <c r="V543" i="32"/>
  <c r="V544" i="32"/>
  <c r="V545" i="32"/>
  <c r="V546" i="32"/>
  <c r="V547" i="32"/>
  <c r="V548" i="32"/>
  <c r="V549" i="32"/>
  <c r="V550" i="32"/>
  <c r="V551" i="32"/>
  <c r="V552" i="32"/>
  <c r="V553" i="32"/>
  <c r="V554" i="32"/>
  <c r="V555" i="32"/>
  <c r="V556" i="32"/>
  <c r="V557" i="32"/>
  <c r="V558" i="32"/>
  <c r="V559" i="32"/>
  <c r="V560" i="32"/>
  <c r="V561" i="32"/>
  <c r="V562" i="32"/>
  <c r="V563" i="32"/>
  <c r="V564" i="32"/>
  <c r="V565" i="32"/>
  <c r="V566" i="32"/>
  <c r="V567" i="32"/>
  <c r="V568" i="32"/>
  <c r="V569" i="32"/>
  <c r="V570" i="32"/>
  <c r="V571" i="32"/>
  <c r="V572" i="32"/>
  <c r="V573" i="32"/>
  <c r="V574" i="32"/>
  <c r="V575" i="32"/>
  <c r="V576" i="32"/>
  <c r="V577" i="32"/>
  <c r="V578" i="32"/>
  <c r="V579" i="32"/>
  <c r="V580" i="32"/>
  <c r="V581" i="32"/>
  <c r="V582" i="32"/>
  <c r="V583" i="32"/>
  <c r="V584" i="32"/>
  <c r="V585" i="32"/>
  <c r="V586" i="32"/>
  <c r="V587" i="32"/>
  <c r="V588" i="32"/>
  <c r="V589" i="32"/>
  <c r="V590" i="32"/>
  <c r="V591" i="32"/>
  <c r="V592" i="32"/>
  <c r="V593" i="32"/>
  <c r="V594" i="32"/>
  <c r="V595" i="32"/>
  <c r="V596" i="32"/>
  <c r="V597" i="32"/>
  <c r="V598" i="32"/>
  <c r="V599" i="32"/>
  <c r="V600" i="32"/>
  <c r="V601" i="32"/>
  <c r="V602" i="32"/>
  <c r="V603" i="32"/>
  <c r="V604" i="32"/>
  <c r="V605" i="32"/>
  <c r="V606" i="32"/>
  <c r="V607" i="32"/>
  <c r="V608" i="32"/>
  <c r="V609" i="32"/>
  <c r="V610" i="32"/>
  <c r="V611" i="32"/>
  <c r="V612" i="32"/>
  <c r="V613" i="32"/>
  <c r="V614" i="32"/>
  <c r="V615" i="32"/>
  <c r="V616" i="32"/>
  <c r="V617" i="32"/>
  <c r="V618" i="32"/>
  <c r="V619" i="32"/>
  <c r="V620" i="32"/>
  <c r="V621" i="32"/>
  <c r="V622" i="32"/>
  <c r="V623" i="32"/>
  <c r="V624" i="32"/>
  <c r="V625" i="32"/>
  <c r="V626" i="32"/>
  <c r="V627" i="32"/>
  <c r="V628" i="32"/>
  <c r="V629" i="32"/>
  <c r="V630" i="32"/>
  <c r="V631" i="32"/>
  <c r="V632" i="32"/>
  <c r="V633" i="32"/>
  <c r="V634" i="32"/>
  <c r="V635" i="32"/>
  <c r="V636" i="32"/>
  <c r="V637" i="32"/>
  <c r="V638" i="32"/>
  <c r="V639" i="32"/>
  <c r="V640" i="32"/>
  <c r="V641" i="32"/>
  <c r="V642" i="32"/>
  <c r="V643" i="32"/>
  <c r="V644" i="32"/>
  <c r="V645" i="32"/>
  <c r="V646" i="32"/>
  <c r="V647" i="32"/>
  <c r="V648" i="32"/>
  <c r="V649" i="32"/>
  <c r="V650" i="32"/>
  <c r="V651" i="32"/>
  <c r="V652" i="32"/>
  <c r="V653" i="32"/>
  <c r="V654" i="32"/>
  <c r="V655" i="32"/>
  <c r="V656" i="32"/>
  <c r="V657" i="32"/>
  <c r="V658" i="32"/>
  <c r="V659" i="32"/>
  <c r="V660" i="32"/>
  <c r="V661" i="32"/>
  <c r="V662" i="32"/>
  <c r="V663" i="32"/>
  <c r="V664" i="32"/>
  <c r="V665" i="32"/>
  <c r="V666" i="32"/>
  <c r="V667" i="32"/>
  <c r="V668" i="32"/>
  <c r="V669" i="32"/>
  <c r="V670" i="32"/>
  <c r="V671" i="32"/>
  <c r="V672" i="32"/>
  <c r="V673" i="32"/>
  <c r="V674" i="32"/>
  <c r="V675" i="32"/>
  <c r="V676" i="32"/>
  <c r="V677" i="32"/>
  <c r="V678" i="32"/>
  <c r="V4" i="32"/>
  <c r="T4" i="32" s="1"/>
  <c r="N679" i="32"/>
  <c r="M679" i="32"/>
  <c r="L679" i="32"/>
  <c r="K679" i="32"/>
  <c r="I679" i="32"/>
  <c r="H679" i="32"/>
  <c r="G679" i="32"/>
  <c r="F679" i="32"/>
  <c r="W678" i="32"/>
  <c r="S678" i="32"/>
  <c r="W677" i="32"/>
  <c r="S677" i="32"/>
  <c r="W676" i="32"/>
  <c r="S676" i="32"/>
  <c r="W675" i="32"/>
  <c r="S675" i="32"/>
  <c r="W674" i="32"/>
  <c r="S674" i="32"/>
  <c r="W673" i="32"/>
  <c r="S673" i="32"/>
  <c r="W672" i="32"/>
  <c r="S672" i="32"/>
  <c r="W671" i="32"/>
  <c r="S671" i="32"/>
  <c r="W670" i="32"/>
  <c r="S670" i="32"/>
  <c r="W669" i="32"/>
  <c r="S669" i="32"/>
  <c r="W668" i="32"/>
  <c r="S668" i="32"/>
  <c r="W667" i="32"/>
  <c r="S667" i="32"/>
  <c r="W666" i="32"/>
  <c r="S666" i="32"/>
  <c r="W665" i="32"/>
  <c r="S665" i="32"/>
  <c r="W664" i="32"/>
  <c r="S664" i="32"/>
  <c r="W663" i="32"/>
  <c r="S663" i="32"/>
  <c r="W662" i="32"/>
  <c r="S662" i="32"/>
  <c r="W661" i="32"/>
  <c r="S661" i="32"/>
  <c r="W660" i="32"/>
  <c r="S660" i="32"/>
  <c r="W659" i="32"/>
  <c r="S659" i="32"/>
  <c r="W658" i="32"/>
  <c r="S658" i="32"/>
  <c r="W657" i="32"/>
  <c r="S657" i="32"/>
  <c r="W656" i="32"/>
  <c r="S656" i="32"/>
  <c r="W655" i="32"/>
  <c r="S655" i="32"/>
  <c r="W654" i="32"/>
  <c r="S654" i="32"/>
  <c r="W653" i="32"/>
  <c r="S653" i="32"/>
  <c r="W652" i="32"/>
  <c r="S652" i="32"/>
  <c r="W651" i="32"/>
  <c r="S651" i="32"/>
  <c r="W650" i="32"/>
  <c r="S650" i="32"/>
  <c r="W649" i="32"/>
  <c r="S649" i="32"/>
  <c r="W648" i="32"/>
  <c r="S648" i="32"/>
  <c r="W647" i="32"/>
  <c r="S647" i="32"/>
  <c r="W646" i="32"/>
  <c r="S646" i="32"/>
  <c r="W645" i="32"/>
  <c r="S645" i="32"/>
  <c r="W644" i="32"/>
  <c r="S644" i="32"/>
  <c r="W643" i="32"/>
  <c r="S643" i="32"/>
  <c r="W642" i="32"/>
  <c r="S642" i="32"/>
  <c r="W641" i="32"/>
  <c r="S641" i="32"/>
  <c r="W640" i="32"/>
  <c r="S640" i="32"/>
  <c r="W639" i="32"/>
  <c r="S639" i="32"/>
  <c r="W638" i="32"/>
  <c r="S638" i="32"/>
  <c r="W637" i="32"/>
  <c r="S637" i="32"/>
  <c r="W636" i="32"/>
  <c r="S636" i="32"/>
  <c r="W635" i="32"/>
  <c r="S635" i="32"/>
  <c r="W634" i="32"/>
  <c r="S634" i="32"/>
  <c r="W633" i="32"/>
  <c r="S633" i="32"/>
  <c r="W632" i="32"/>
  <c r="S632" i="32"/>
  <c r="W631" i="32"/>
  <c r="S631" i="32"/>
  <c r="W630" i="32"/>
  <c r="S630" i="32"/>
  <c r="W629" i="32"/>
  <c r="S629" i="32"/>
  <c r="W628" i="32"/>
  <c r="S628" i="32"/>
  <c r="W627" i="32"/>
  <c r="S627" i="32"/>
  <c r="W626" i="32"/>
  <c r="S626" i="32"/>
  <c r="W625" i="32"/>
  <c r="S625" i="32"/>
  <c r="W624" i="32"/>
  <c r="S624" i="32"/>
  <c r="W623" i="32"/>
  <c r="S623" i="32"/>
  <c r="W622" i="32"/>
  <c r="S622" i="32"/>
  <c r="W621" i="32"/>
  <c r="S621" i="32"/>
  <c r="W620" i="32"/>
  <c r="S620" i="32"/>
  <c r="W619" i="32"/>
  <c r="S619" i="32"/>
  <c r="W618" i="32"/>
  <c r="S618" i="32"/>
  <c r="W617" i="32"/>
  <c r="S617" i="32"/>
  <c r="W616" i="32"/>
  <c r="S616" i="32"/>
  <c r="W615" i="32"/>
  <c r="S615" i="32"/>
  <c r="W614" i="32"/>
  <c r="S614" i="32"/>
  <c r="W613" i="32"/>
  <c r="S613" i="32"/>
  <c r="W612" i="32"/>
  <c r="S612" i="32"/>
  <c r="W611" i="32"/>
  <c r="S611" i="32"/>
  <c r="W610" i="32"/>
  <c r="S610" i="32"/>
  <c r="W609" i="32"/>
  <c r="S609" i="32"/>
  <c r="W608" i="32"/>
  <c r="S608" i="32"/>
  <c r="W607" i="32"/>
  <c r="S607" i="32"/>
  <c r="W606" i="32"/>
  <c r="S606" i="32"/>
  <c r="W605" i="32"/>
  <c r="S605" i="32"/>
  <c r="W604" i="32"/>
  <c r="S604" i="32"/>
  <c r="W603" i="32"/>
  <c r="S603" i="32"/>
  <c r="W602" i="32"/>
  <c r="S602" i="32"/>
  <c r="W601" i="32"/>
  <c r="S601" i="32"/>
  <c r="W600" i="32"/>
  <c r="S600" i="32"/>
  <c r="W599" i="32"/>
  <c r="S599" i="32"/>
  <c r="W598" i="32"/>
  <c r="S598" i="32"/>
  <c r="W597" i="32"/>
  <c r="S597" i="32"/>
  <c r="W596" i="32"/>
  <c r="S596" i="32"/>
  <c r="W595" i="32"/>
  <c r="S595" i="32"/>
  <c r="W594" i="32"/>
  <c r="S594" i="32"/>
  <c r="W593" i="32"/>
  <c r="S593" i="32"/>
  <c r="W592" i="32"/>
  <c r="S592" i="32"/>
  <c r="W591" i="32"/>
  <c r="S591" i="32"/>
  <c r="W590" i="32"/>
  <c r="S590" i="32"/>
  <c r="W589" i="32"/>
  <c r="S589" i="32"/>
  <c r="W588" i="32"/>
  <c r="S588" i="32"/>
  <c r="W587" i="32"/>
  <c r="S587" i="32"/>
  <c r="W586" i="32"/>
  <c r="S586" i="32"/>
  <c r="W585" i="32"/>
  <c r="S585" i="32"/>
  <c r="W584" i="32"/>
  <c r="S584" i="32"/>
  <c r="W583" i="32"/>
  <c r="S583" i="32"/>
  <c r="W582" i="32"/>
  <c r="S582" i="32"/>
  <c r="W581" i="32"/>
  <c r="S581" i="32"/>
  <c r="W580" i="32"/>
  <c r="S580" i="32"/>
  <c r="W579" i="32"/>
  <c r="S579" i="32"/>
  <c r="W578" i="32"/>
  <c r="S578" i="32"/>
  <c r="W577" i="32"/>
  <c r="S577" i="32"/>
  <c r="W576" i="32"/>
  <c r="S576" i="32"/>
  <c r="W575" i="32"/>
  <c r="S575" i="32"/>
  <c r="W574" i="32"/>
  <c r="S574" i="32"/>
  <c r="W573" i="32"/>
  <c r="S573" i="32"/>
  <c r="W572" i="32"/>
  <c r="S572" i="32"/>
  <c r="W571" i="32"/>
  <c r="S571" i="32"/>
  <c r="W570" i="32"/>
  <c r="S570" i="32"/>
  <c r="W569" i="32"/>
  <c r="S569" i="32"/>
  <c r="W568" i="32"/>
  <c r="S568" i="32"/>
  <c r="W567" i="32"/>
  <c r="S567" i="32"/>
  <c r="W566" i="32"/>
  <c r="S566" i="32"/>
  <c r="W565" i="32"/>
  <c r="S565" i="32"/>
  <c r="W564" i="32"/>
  <c r="S564" i="32"/>
  <c r="W563" i="32"/>
  <c r="S563" i="32"/>
  <c r="W562" i="32"/>
  <c r="S562" i="32"/>
  <c r="W561" i="32"/>
  <c r="S561" i="32"/>
  <c r="W560" i="32"/>
  <c r="S560" i="32"/>
  <c r="W559" i="32"/>
  <c r="S559" i="32"/>
  <c r="W558" i="32"/>
  <c r="S558" i="32"/>
  <c r="W557" i="32"/>
  <c r="S557" i="32"/>
  <c r="W556" i="32"/>
  <c r="S556" i="32"/>
  <c r="W555" i="32"/>
  <c r="S555" i="32"/>
  <c r="W554" i="32"/>
  <c r="S554" i="32"/>
  <c r="W553" i="32"/>
  <c r="S553" i="32"/>
  <c r="W552" i="32"/>
  <c r="S552" i="32"/>
  <c r="W551" i="32"/>
  <c r="S551" i="32"/>
  <c r="W550" i="32"/>
  <c r="S550" i="32"/>
  <c r="W549" i="32"/>
  <c r="S549" i="32"/>
  <c r="W548" i="32"/>
  <c r="S548" i="32"/>
  <c r="W547" i="32"/>
  <c r="S547" i="32"/>
  <c r="W546" i="32"/>
  <c r="S546" i="32"/>
  <c r="W545" i="32"/>
  <c r="S545" i="32"/>
  <c r="W544" i="32"/>
  <c r="S544" i="32"/>
  <c r="W543" i="32"/>
  <c r="S543" i="32"/>
  <c r="W542" i="32"/>
  <c r="S542" i="32"/>
  <c r="W541" i="32"/>
  <c r="S541" i="32"/>
  <c r="W540" i="32"/>
  <c r="S540" i="32"/>
  <c r="W539" i="32"/>
  <c r="S539" i="32"/>
  <c r="W538" i="32"/>
  <c r="S538" i="32"/>
  <c r="W537" i="32"/>
  <c r="S537" i="32"/>
  <c r="W536" i="32"/>
  <c r="S536" i="32"/>
  <c r="W535" i="32"/>
  <c r="S535" i="32"/>
  <c r="W534" i="32"/>
  <c r="S534" i="32"/>
  <c r="W533" i="32"/>
  <c r="S533" i="32"/>
  <c r="W532" i="32"/>
  <c r="S532" i="32"/>
  <c r="W531" i="32"/>
  <c r="S531" i="32"/>
  <c r="W530" i="32"/>
  <c r="S530" i="32"/>
  <c r="W529" i="32"/>
  <c r="S529" i="32"/>
  <c r="W528" i="32"/>
  <c r="S528" i="32"/>
  <c r="W527" i="32"/>
  <c r="S527" i="32"/>
  <c r="W526" i="32"/>
  <c r="S526" i="32"/>
  <c r="W525" i="32"/>
  <c r="S525" i="32"/>
  <c r="W524" i="32"/>
  <c r="S524" i="32"/>
  <c r="W523" i="32"/>
  <c r="S523" i="32"/>
  <c r="W522" i="32"/>
  <c r="S522" i="32"/>
  <c r="W521" i="32"/>
  <c r="S521" i="32"/>
  <c r="W520" i="32"/>
  <c r="S520" i="32"/>
  <c r="W519" i="32"/>
  <c r="S519" i="32"/>
  <c r="W518" i="32"/>
  <c r="S518" i="32"/>
  <c r="W517" i="32"/>
  <c r="S517" i="32"/>
  <c r="W516" i="32"/>
  <c r="S516" i="32"/>
  <c r="W515" i="32"/>
  <c r="S515" i="32"/>
  <c r="W514" i="32"/>
  <c r="S514" i="32"/>
  <c r="W513" i="32"/>
  <c r="S513" i="32"/>
  <c r="W512" i="32"/>
  <c r="S512" i="32"/>
  <c r="W511" i="32"/>
  <c r="S511" i="32"/>
  <c r="W510" i="32"/>
  <c r="S510" i="32"/>
  <c r="W509" i="32"/>
  <c r="S509" i="32"/>
  <c r="W508" i="32"/>
  <c r="S508" i="32"/>
  <c r="W507" i="32"/>
  <c r="S507" i="32"/>
  <c r="W506" i="32"/>
  <c r="S506" i="32"/>
  <c r="W505" i="32"/>
  <c r="S505" i="32"/>
  <c r="W504" i="32"/>
  <c r="S504" i="32"/>
  <c r="W503" i="32"/>
  <c r="S503" i="32"/>
  <c r="W502" i="32"/>
  <c r="S502" i="32"/>
  <c r="W501" i="32"/>
  <c r="S501" i="32"/>
  <c r="W500" i="32"/>
  <c r="S500" i="32"/>
  <c r="W499" i="32"/>
  <c r="S499" i="32"/>
  <c r="W498" i="32"/>
  <c r="S498" i="32"/>
  <c r="W497" i="32"/>
  <c r="S497" i="32"/>
  <c r="W496" i="32"/>
  <c r="S496" i="32"/>
  <c r="W495" i="32"/>
  <c r="S495" i="32"/>
  <c r="W494" i="32"/>
  <c r="S494" i="32"/>
  <c r="W493" i="32"/>
  <c r="S493" i="32"/>
  <c r="W492" i="32"/>
  <c r="S492" i="32"/>
  <c r="W491" i="32"/>
  <c r="S491" i="32"/>
  <c r="W490" i="32"/>
  <c r="S490" i="32"/>
  <c r="W489" i="32"/>
  <c r="S489" i="32"/>
  <c r="W488" i="32"/>
  <c r="S488" i="32"/>
  <c r="W487" i="32"/>
  <c r="S487" i="32"/>
  <c r="W486" i="32"/>
  <c r="S486" i="32"/>
  <c r="W485" i="32"/>
  <c r="S485" i="32"/>
  <c r="W484" i="32"/>
  <c r="S484" i="32"/>
  <c r="W483" i="32"/>
  <c r="S483" i="32"/>
  <c r="W482" i="32"/>
  <c r="S482" i="32"/>
  <c r="W481" i="32"/>
  <c r="S481" i="32"/>
  <c r="W480" i="32"/>
  <c r="S480" i="32"/>
  <c r="W479" i="32"/>
  <c r="S479" i="32"/>
  <c r="W478" i="32"/>
  <c r="S478" i="32"/>
  <c r="W477" i="32"/>
  <c r="S477" i="32"/>
  <c r="W476" i="32"/>
  <c r="S476" i="32"/>
  <c r="W475" i="32"/>
  <c r="S475" i="32"/>
  <c r="W474" i="32"/>
  <c r="S474" i="32"/>
  <c r="W473" i="32"/>
  <c r="S473" i="32"/>
  <c r="W472" i="32"/>
  <c r="S472" i="32"/>
  <c r="W471" i="32"/>
  <c r="S471" i="32"/>
  <c r="W470" i="32"/>
  <c r="S470" i="32"/>
  <c r="W469" i="32"/>
  <c r="S469" i="32"/>
  <c r="W468" i="32"/>
  <c r="S468" i="32"/>
  <c r="W467" i="32"/>
  <c r="S467" i="32"/>
  <c r="W466" i="32"/>
  <c r="S466" i="32"/>
  <c r="W465" i="32"/>
  <c r="S465" i="32"/>
  <c r="W464" i="32"/>
  <c r="S464" i="32"/>
  <c r="W463" i="32"/>
  <c r="S463" i="32"/>
  <c r="W462" i="32"/>
  <c r="S462" i="32"/>
  <c r="W461" i="32"/>
  <c r="S461" i="32"/>
  <c r="W460" i="32"/>
  <c r="S460" i="32"/>
  <c r="W459" i="32"/>
  <c r="S459" i="32"/>
  <c r="W458" i="32"/>
  <c r="S458" i="32"/>
  <c r="W457" i="32"/>
  <c r="S457" i="32"/>
  <c r="W456" i="32"/>
  <c r="S456" i="32"/>
  <c r="W455" i="32"/>
  <c r="S455" i="32"/>
  <c r="W454" i="32"/>
  <c r="S454" i="32"/>
  <c r="W453" i="32"/>
  <c r="S453" i="32"/>
  <c r="W452" i="32"/>
  <c r="S452" i="32"/>
  <c r="W451" i="32"/>
  <c r="S451" i="32"/>
  <c r="W450" i="32"/>
  <c r="S450" i="32"/>
  <c r="W449" i="32"/>
  <c r="S449" i="32"/>
  <c r="W448" i="32"/>
  <c r="S448" i="32"/>
  <c r="W447" i="32"/>
  <c r="S447" i="32"/>
  <c r="W446" i="32"/>
  <c r="S446" i="32"/>
  <c r="W445" i="32"/>
  <c r="S445" i="32"/>
  <c r="W444" i="32"/>
  <c r="S444" i="32"/>
  <c r="W443" i="32"/>
  <c r="S443" i="32"/>
  <c r="W442" i="32"/>
  <c r="S442" i="32"/>
  <c r="W441" i="32"/>
  <c r="S441" i="32"/>
  <c r="W440" i="32"/>
  <c r="S440" i="32"/>
  <c r="W439" i="32"/>
  <c r="S439" i="32"/>
  <c r="W438" i="32"/>
  <c r="S438" i="32"/>
  <c r="W437" i="32"/>
  <c r="S437" i="32"/>
  <c r="W436" i="32"/>
  <c r="S436" i="32"/>
  <c r="W435" i="32"/>
  <c r="S435" i="32"/>
  <c r="W434" i="32"/>
  <c r="S434" i="32"/>
  <c r="W433" i="32"/>
  <c r="S433" i="32"/>
  <c r="W432" i="32"/>
  <c r="S432" i="32"/>
  <c r="W431" i="32"/>
  <c r="S431" i="32"/>
  <c r="W430" i="32"/>
  <c r="S430" i="32"/>
  <c r="W429" i="32"/>
  <c r="S429" i="32"/>
  <c r="W428" i="32"/>
  <c r="S428" i="32"/>
  <c r="W427" i="32"/>
  <c r="S427" i="32"/>
  <c r="W426" i="32"/>
  <c r="S426" i="32"/>
  <c r="W425" i="32"/>
  <c r="S425" i="32"/>
  <c r="W424" i="32"/>
  <c r="S424" i="32"/>
  <c r="W423" i="32"/>
  <c r="S423" i="32"/>
  <c r="W422" i="32"/>
  <c r="S422" i="32"/>
  <c r="W421" i="32"/>
  <c r="S421" i="32"/>
  <c r="W420" i="32"/>
  <c r="S420" i="32"/>
  <c r="W419" i="32"/>
  <c r="S419" i="32"/>
  <c r="W418" i="32"/>
  <c r="S418" i="32"/>
  <c r="W417" i="32"/>
  <c r="S417" i="32"/>
  <c r="W416" i="32"/>
  <c r="S416" i="32"/>
  <c r="W415" i="32"/>
  <c r="S415" i="32"/>
  <c r="W414" i="32"/>
  <c r="S414" i="32"/>
  <c r="W413" i="32"/>
  <c r="S413" i="32"/>
  <c r="W412" i="32"/>
  <c r="S412" i="32"/>
  <c r="W411" i="32"/>
  <c r="S411" i="32"/>
  <c r="W410" i="32"/>
  <c r="S410" i="32"/>
  <c r="W409" i="32"/>
  <c r="S409" i="32"/>
  <c r="W408" i="32"/>
  <c r="S408" i="32"/>
  <c r="W407" i="32"/>
  <c r="S407" i="32"/>
  <c r="W406" i="32"/>
  <c r="S406" i="32"/>
  <c r="W405" i="32"/>
  <c r="S405" i="32"/>
  <c r="W404" i="32"/>
  <c r="S404" i="32"/>
  <c r="W403" i="32"/>
  <c r="S403" i="32"/>
  <c r="W402" i="32"/>
  <c r="S402" i="32"/>
  <c r="W401" i="32"/>
  <c r="S401" i="32"/>
  <c r="W400" i="32"/>
  <c r="S400" i="32"/>
  <c r="W399" i="32"/>
  <c r="S399" i="32"/>
  <c r="W398" i="32"/>
  <c r="S398" i="32"/>
  <c r="W397" i="32"/>
  <c r="S397" i="32"/>
  <c r="W396" i="32"/>
  <c r="S396" i="32"/>
  <c r="W395" i="32"/>
  <c r="S395" i="32"/>
  <c r="W394" i="32"/>
  <c r="S394" i="32"/>
  <c r="W393" i="32"/>
  <c r="S393" i="32"/>
  <c r="W392" i="32"/>
  <c r="S392" i="32"/>
  <c r="W391" i="32"/>
  <c r="S391" i="32"/>
  <c r="W390" i="32"/>
  <c r="S390" i="32"/>
  <c r="W389" i="32"/>
  <c r="S389" i="32"/>
  <c r="W388" i="32"/>
  <c r="S388" i="32"/>
  <c r="W387" i="32"/>
  <c r="S387" i="32"/>
  <c r="W386" i="32"/>
  <c r="S386" i="32"/>
  <c r="W385" i="32"/>
  <c r="S385" i="32"/>
  <c r="W384" i="32"/>
  <c r="S384" i="32"/>
  <c r="W383" i="32"/>
  <c r="S383" i="32"/>
  <c r="W382" i="32"/>
  <c r="S382" i="32"/>
  <c r="W381" i="32"/>
  <c r="S381" i="32"/>
  <c r="W380" i="32"/>
  <c r="S380" i="32"/>
  <c r="W379" i="32"/>
  <c r="S379" i="32"/>
  <c r="W378" i="32"/>
  <c r="S378" i="32"/>
  <c r="W377" i="32"/>
  <c r="S377" i="32"/>
  <c r="W376" i="32"/>
  <c r="S376" i="32"/>
  <c r="W375" i="32"/>
  <c r="S375" i="32"/>
  <c r="W374" i="32"/>
  <c r="S374" i="32"/>
  <c r="W373" i="32"/>
  <c r="S373" i="32"/>
  <c r="W372" i="32"/>
  <c r="S372" i="32"/>
  <c r="W371" i="32"/>
  <c r="S371" i="32"/>
  <c r="W370" i="32"/>
  <c r="S370" i="32"/>
  <c r="W369" i="32"/>
  <c r="S369" i="32"/>
  <c r="W368" i="32"/>
  <c r="S368" i="32"/>
  <c r="W367" i="32"/>
  <c r="S367" i="32"/>
  <c r="W366" i="32"/>
  <c r="S366" i="32"/>
  <c r="W365" i="32"/>
  <c r="S365" i="32"/>
  <c r="W364" i="32"/>
  <c r="S364" i="32"/>
  <c r="W363" i="32"/>
  <c r="S363" i="32"/>
  <c r="W362" i="32"/>
  <c r="S362" i="32"/>
  <c r="W361" i="32"/>
  <c r="S361" i="32"/>
  <c r="W360" i="32"/>
  <c r="S360" i="32"/>
  <c r="W359" i="32"/>
  <c r="S359" i="32"/>
  <c r="W358" i="32"/>
  <c r="S358" i="32"/>
  <c r="W357" i="32"/>
  <c r="S357" i="32"/>
  <c r="W356" i="32"/>
  <c r="S356" i="32"/>
  <c r="W355" i="32"/>
  <c r="S355" i="32"/>
  <c r="W354" i="32"/>
  <c r="S354" i="32"/>
  <c r="W353" i="32"/>
  <c r="S353" i="32"/>
  <c r="W352" i="32"/>
  <c r="S352" i="32"/>
  <c r="W351" i="32"/>
  <c r="S351" i="32"/>
  <c r="W350" i="32"/>
  <c r="S350" i="32"/>
  <c r="W349" i="32"/>
  <c r="S349" i="32"/>
  <c r="W348" i="32"/>
  <c r="S348" i="32"/>
  <c r="W347" i="32"/>
  <c r="S347" i="32"/>
  <c r="W346" i="32"/>
  <c r="S346" i="32"/>
  <c r="W345" i="32"/>
  <c r="S345" i="32"/>
  <c r="W344" i="32"/>
  <c r="S344" i="32"/>
  <c r="W343" i="32"/>
  <c r="S343" i="32"/>
  <c r="W342" i="32"/>
  <c r="S342" i="32"/>
  <c r="W341" i="32"/>
  <c r="S341" i="32"/>
  <c r="W340" i="32"/>
  <c r="S340" i="32"/>
  <c r="W339" i="32"/>
  <c r="S339" i="32"/>
  <c r="W338" i="32"/>
  <c r="S338" i="32"/>
  <c r="W337" i="32"/>
  <c r="S337" i="32"/>
  <c r="W336" i="32"/>
  <c r="S336" i="32"/>
  <c r="W335" i="32"/>
  <c r="S335" i="32"/>
  <c r="W334" i="32"/>
  <c r="S334" i="32"/>
  <c r="W333" i="32"/>
  <c r="S333" i="32"/>
  <c r="W332" i="32"/>
  <c r="S332" i="32"/>
  <c r="W331" i="32"/>
  <c r="S331" i="32"/>
  <c r="W330" i="32"/>
  <c r="S330" i="32"/>
  <c r="W329" i="32"/>
  <c r="S329" i="32"/>
  <c r="W328" i="32"/>
  <c r="S328" i="32"/>
  <c r="W327" i="32"/>
  <c r="S327" i="32"/>
  <c r="W326" i="32"/>
  <c r="S326" i="32"/>
  <c r="W325" i="32"/>
  <c r="S325" i="32"/>
  <c r="W324" i="32"/>
  <c r="S324" i="32"/>
  <c r="W323" i="32"/>
  <c r="S323" i="32"/>
  <c r="W322" i="32"/>
  <c r="S322" i="32"/>
  <c r="W321" i="32"/>
  <c r="S321" i="32"/>
  <c r="W320" i="32"/>
  <c r="S320" i="32"/>
  <c r="W319" i="32"/>
  <c r="S319" i="32"/>
  <c r="W318" i="32"/>
  <c r="S318" i="32"/>
  <c r="W317" i="32"/>
  <c r="S317" i="32"/>
  <c r="W316" i="32"/>
  <c r="S316" i="32"/>
  <c r="W315" i="32"/>
  <c r="S315" i="32"/>
  <c r="W314" i="32"/>
  <c r="S314" i="32"/>
  <c r="W313" i="32"/>
  <c r="S313" i="32"/>
  <c r="W312" i="32"/>
  <c r="S312" i="32"/>
  <c r="W311" i="32"/>
  <c r="S311" i="32"/>
  <c r="W310" i="32"/>
  <c r="S310" i="32"/>
  <c r="W309" i="32"/>
  <c r="S309" i="32"/>
  <c r="W308" i="32"/>
  <c r="S308" i="32"/>
  <c r="W307" i="32"/>
  <c r="S307" i="32"/>
  <c r="W306" i="32"/>
  <c r="S306" i="32"/>
  <c r="W305" i="32"/>
  <c r="S305" i="32"/>
  <c r="W304" i="32"/>
  <c r="S304" i="32"/>
  <c r="W303" i="32"/>
  <c r="S303" i="32"/>
  <c r="W302" i="32"/>
  <c r="S302" i="32"/>
  <c r="W301" i="32"/>
  <c r="S301" i="32"/>
  <c r="W300" i="32"/>
  <c r="S300" i="32"/>
  <c r="W299" i="32"/>
  <c r="S299" i="32"/>
  <c r="W298" i="32"/>
  <c r="S298" i="32"/>
  <c r="W297" i="32"/>
  <c r="S297" i="32"/>
  <c r="W296" i="32"/>
  <c r="S296" i="32"/>
  <c r="W295" i="32"/>
  <c r="S295" i="32"/>
  <c r="W294" i="32"/>
  <c r="S294" i="32"/>
  <c r="W293" i="32"/>
  <c r="S293" i="32"/>
  <c r="W292" i="32"/>
  <c r="S292" i="32"/>
  <c r="W291" i="32"/>
  <c r="S291" i="32"/>
  <c r="W290" i="32"/>
  <c r="S290" i="32"/>
  <c r="W289" i="32"/>
  <c r="S289" i="32"/>
  <c r="W288" i="32"/>
  <c r="S288" i="32"/>
  <c r="W287" i="32"/>
  <c r="S287" i="32"/>
  <c r="W286" i="32"/>
  <c r="S286" i="32"/>
  <c r="W285" i="32"/>
  <c r="S285" i="32"/>
  <c r="W284" i="32"/>
  <c r="S284" i="32"/>
  <c r="W283" i="32"/>
  <c r="S283" i="32"/>
  <c r="W282" i="32"/>
  <c r="S282" i="32"/>
  <c r="W281" i="32"/>
  <c r="S281" i="32"/>
  <c r="W280" i="32"/>
  <c r="S280" i="32"/>
  <c r="W279" i="32"/>
  <c r="S279" i="32"/>
  <c r="W278" i="32"/>
  <c r="S278" i="32"/>
  <c r="W277" i="32"/>
  <c r="S277" i="32"/>
  <c r="W276" i="32"/>
  <c r="S276" i="32"/>
  <c r="W275" i="32"/>
  <c r="S275" i="32"/>
  <c r="W274" i="32"/>
  <c r="S274" i="32"/>
  <c r="W273" i="32"/>
  <c r="S273" i="32"/>
  <c r="W272" i="32"/>
  <c r="S272" i="32"/>
  <c r="W271" i="32"/>
  <c r="S271" i="32"/>
  <c r="W270" i="32"/>
  <c r="S270" i="32"/>
  <c r="W269" i="32"/>
  <c r="S269" i="32"/>
  <c r="W268" i="32"/>
  <c r="S268" i="32"/>
  <c r="W267" i="32"/>
  <c r="S267" i="32"/>
  <c r="W266" i="32"/>
  <c r="S266" i="32"/>
  <c r="W265" i="32"/>
  <c r="S265" i="32"/>
  <c r="W264" i="32"/>
  <c r="S264" i="32"/>
  <c r="W263" i="32"/>
  <c r="S263" i="32"/>
  <c r="W262" i="32"/>
  <c r="S262" i="32"/>
  <c r="W261" i="32"/>
  <c r="S261" i="32"/>
  <c r="W260" i="32"/>
  <c r="S260" i="32"/>
  <c r="W259" i="32"/>
  <c r="S259" i="32"/>
  <c r="W258" i="32"/>
  <c r="S258" i="32"/>
  <c r="W257" i="32"/>
  <c r="S257" i="32"/>
  <c r="W256" i="32"/>
  <c r="S256" i="32"/>
  <c r="W255" i="32"/>
  <c r="S255" i="32"/>
  <c r="W254" i="32"/>
  <c r="S254" i="32"/>
  <c r="W253" i="32"/>
  <c r="S253" i="32"/>
  <c r="W252" i="32"/>
  <c r="S252" i="32"/>
  <c r="W251" i="32"/>
  <c r="S251" i="32"/>
  <c r="W250" i="32"/>
  <c r="S250" i="32"/>
  <c r="W249" i="32"/>
  <c r="S249" i="32"/>
  <c r="W248" i="32"/>
  <c r="S248" i="32"/>
  <c r="W247" i="32"/>
  <c r="S247" i="32"/>
  <c r="W246" i="32"/>
  <c r="S246" i="32"/>
  <c r="W245" i="32"/>
  <c r="S245" i="32"/>
  <c r="W244" i="32"/>
  <c r="S244" i="32"/>
  <c r="W243" i="32"/>
  <c r="S243" i="32"/>
  <c r="W242" i="32"/>
  <c r="S242" i="32"/>
  <c r="W241" i="32"/>
  <c r="S241" i="32"/>
  <c r="W240" i="32"/>
  <c r="S240" i="32"/>
  <c r="W239" i="32"/>
  <c r="S239" i="32"/>
  <c r="W238" i="32"/>
  <c r="S238" i="32"/>
  <c r="W237" i="32"/>
  <c r="S237" i="32"/>
  <c r="W236" i="32"/>
  <c r="S236" i="32"/>
  <c r="W235" i="32"/>
  <c r="S235" i="32"/>
  <c r="W234" i="32"/>
  <c r="S234" i="32"/>
  <c r="W233" i="32"/>
  <c r="S233" i="32"/>
  <c r="W232" i="32"/>
  <c r="S232" i="32"/>
  <c r="W231" i="32"/>
  <c r="S231" i="32"/>
  <c r="W230" i="32"/>
  <c r="S230" i="32"/>
  <c r="W229" i="32"/>
  <c r="S229" i="32"/>
  <c r="W228" i="32"/>
  <c r="S228" i="32"/>
  <c r="W227" i="32"/>
  <c r="S227" i="32"/>
  <c r="W226" i="32"/>
  <c r="S226" i="32"/>
  <c r="W225" i="32"/>
  <c r="S225" i="32"/>
  <c r="W224" i="32"/>
  <c r="S224" i="32"/>
  <c r="W223" i="32"/>
  <c r="S223" i="32"/>
  <c r="W222" i="32"/>
  <c r="S222" i="32"/>
  <c r="W221" i="32"/>
  <c r="S221" i="32"/>
  <c r="W220" i="32"/>
  <c r="S220" i="32"/>
  <c r="W219" i="32"/>
  <c r="S219" i="32"/>
  <c r="W218" i="32"/>
  <c r="S218" i="32"/>
  <c r="W217" i="32"/>
  <c r="S217" i="32"/>
  <c r="W216" i="32"/>
  <c r="S216" i="32"/>
  <c r="W215" i="32"/>
  <c r="S215" i="32"/>
  <c r="W214" i="32"/>
  <c r="S214" i="32"/>
  <c r="W213" i="32"/>
  <c r="S213" i="32"/>
  <c r="W212" i="32"/>
  <c r="S212" i="32"/>
  <c r="W211" i="32"/>
  <c r="S211" i="32"/>
  <c r="W210" i="32"/>
  <c r="S210" i="32"/>
  <c r="W209" i="32"/>
  <c r="S209" i="32"/>
  <c r="W208" i="32"/>
  <c r="S208" i="32"/>
  <c r="W207" i="32"/>
  <c r="S207" i="32"/>
  <c r="W206" i="32"/>
  <c r="S206" i="32"/>
  <c r="W205" i="32"/>
  <c r="S205" i="32"/>
  <c r="W204" i="32"/>
  <c r="S204" i="32"/>
  <c r="W203" i="32"/>
  <c r="S203" i="32"/>
  <c r="W202" i="32"/>
  <c r="S202" i="32"/>
  <c r="W201" i="32"/>
  <c r="S201" i="32"/>
  <c r="W200" i="32"/>
  <c r="S200" i="32"/>
  <c r="W199" i="32"/>
  <c r="S199" i="32"/>
  <c r="W198" i="32"/>
  <c r="S198" i="32"/>
  <c r="W197" i="32"/>
  <c r="S197" i="32"/>
  <c r="W196" i="32"/>
  <c r="S196" i="32"/>
  <c r="W195" i="32"/>
  <c r="S195" i="32"/>
  <c r="W194" i="32"/>
  <c r="S194" i="32"/>
  <c r="W193" i="32"/>
  <c r="S193" i="32"/>
  <c r="W192" i="32"/>
  <c r="S192" i="32"/>
  <c r="W191" i="32"/>
  <c r="S191" i="32"/>
  <c r="W190" i="32"/>
  <c r="S190" i="32"/>
  <c r="W189" i="32"/>
  <c r="S189" i="32"/>
  <c r="W188" i="32"/>
  <c r="S188" i="32"/>
  <c r="W187" i="32"/>
  <c r="S187" i="32"/>
  <c r="W186" i="32"/>
  <c r="S186" i="32"/>
  <c r="W185" i="32"/>
  <c r="S185" i="32"/>
  <c r="W184" i="32"/>
  <c r="S184" i="32"/>
  <c r="W183" i="32"/>
  <c r="S183" i="32"/>
  <c r="W182" i="32"/>
  <c r="S182" i="32"/>
  <c r="W181" i="32"/>
  <c r="S181" i="32"/>
  <c r="W180" i="32"/>
  <c r="S180" i="32"/>
  <c r="W179" i="32"/>
  <c r="S179" i="32"/>
  <c r="W178" i="32"/>
  <c r="S178" i="32"/>
  <c r="W177" i="32"/>
  <c r="S177" i="32"/>
  <c r="W176" i="32"/>
  <c r="S176" i="32"/>
  <c r="W175" i="32"/>
  <c r="S175" i="32"/>
  <c r="W174" i="32"/>
  <c r="S174" i="32"/>
  <c r="W173" i="32"/>
  <c r="S173" i="32"/>
  <c r="W172" i="32"/>
  <c r="S172" i="32"/>
  <c r="W171" i="32"/>
  <c r="S171" i="32"/>
  <c r="W170" i="32"/>
  <c r="S170" i="32"/>
  <c r="W169" i="32"/>
  <c r="S169" i="32"/>
  <c r="W168" i="32"/>
  <c r="S168" i="32"/>
  <c r="W167" i="32"/>
  <c r="S167" i="32"/>
  <c r="W166" i="32"/>
  <c r="S166" i="32"/>
  <c r="W165" i="32"/>
  <c r="S165" i="32"/>
  <c r="W164" i="32"/>
  <c r="S164" i="32"/>
  <c r="W163" i="32"/>
  <c r="S163" i="32"/>
  <c r="W162" i="32"/>
  <c r="S162" i="32"/>
  <c r="W161" i="32"/>
  <c r="S161" i="32"/>
  <c r="W160" i="32"/>
  <c r="S160" i="32"/>
  <c r="W159" i="32"/>
  <c r="S159" i="32"/>
  <c r="W158" i="32"/>
  <c r="S158" i="32"/>
  <c r="W157" i="32"/>
  <c r="S157" i="32"/>
  <c r="W156" i="32"/>
  <c r="S156" i="32"/>
  <c r="W155" i="32"/>
  <c r="S155" i="32"/>
  <c r="W154" i="32"/>
  <c r="S154" i="32"/>
  <c r="W153" i="32"/>
  <c r="S153" i="32"/>
  <c r="W152" i="32"/>
  <c r="S152" i="32"/>
  <c r="W151" i="32"/>
  <c r="S151" i="32"/>
  <c r="W150" i="32"/>
  <c r="S150" i="32"/>
  <c r="W149" i="32"/>
  <c r="S149" i="32"/>
  <c r="W148" i="32"/>
  <c r="S148" i="32"/>
  <c r="W147" i="32"/>
  <c r="S147" i="32"/>
  <c r="W146" i="32"/>
  <c r="S146" i="32"/>
  <c r="W145" i="32"/>
  <c r="S145" i="32"/>
  <c r="W144" i="32"/>
  <c r="S144" i="32"/>
  <c r="W143" i="32"/>
  <c r="S143" i="32"/>
  <c r="W142" i="32"/>
  <c r="S142" i="32"/>
  <c r="W141" i="32"/>
  <c r="S141" i="32"/>
  <c r="W140" i="32"/>
  <c r="S140" i="32"/>
  <c r="W139" i="32"/>
  <c r="S139" i="32"/>
  <c r="W138" i="32"/>
  <c r="S138" i="32"/>
  <c r="W137" i="32"/>
  <c r="S137" i="32"/>
  <c r="W136" i="32"/>
  <c r="S136" i="32"/>
  <c r="W135" i="32"/>
  <c r="S135" i="32"/>
  <c r="W134" i="32"/>
  <c r="S134" i="32"/>
  <c r="W133" i="32"/>
  <c r="S133" i="32"/>
  <c r="W132" i="32"/>
  <c r="S132" i="32"/>
  <c r="W131" i="32"/>
  <c r="S131" i="32"/>
  <c r="W130" i="32"/>
  <c r="S130" i="32"/>
  <c r="W129" i="32"/>
  <c r="S129" i="32"/>
  <c r="W128" i="32"/>
  <c r="S128" i="32"/>
  <c r="W127" i="32"/>
  <c r="S127" i="32"/>
  <c r="W126" i="32"/>
  <c r="S126" i="32"/>
  <c r="W125" i="32"/>
  <c r="S125" i="32"/>
  <c r="W124" i="32"/>
  <c r="S124" i="32"/>
  <c r="W123" i="32"/>
  <c r="S123" i="32"/>
  <c r="W122" i="32"/>
  <c r="S122" i="32"/>
  <c r="W121" i="32"/>
  <c r="S121" i="32"/>
  <c r="W120" i="32"/>
  <c r="S120" i="32"/>
  <c r="W119" i="32"/>
  <c r="S119" i="32"/>
  <c r="W118" i="32"/>
  <c r="S118" i="32"/>
  <c r="W117" i="32"/>
  <c r="S117" i="32"/>
  <c r="W116" i="32"/>
  <c r="S116" i="32"/>
  <c r="W115" i="32"/>
  <c r="S115" i="32"/>
  <c r="W114" i="32"/>
  <c r="S114" i="32"/>
  <c r="W113" i="32"/>
  <c r="S113" i="32"/>
  <c r="W112" i="32"/>
  <c r="S112" i="32"/>
  <c r="W111" i="32"/>
  <c r="S111" i="32"/>
  <c r="W110" i="32"/>
  <c r="S110" i="32"/>
  <c r="W109" i="32"/>
  <c r="S109" i="32"/>
  <c r="W108" i="32"/>
  <c r="S108" i="32"/>
  <c r="W107" i="32"/>
  <c r="S107" i="32"/>
  <c r="W106" i="32"/>
  <c r="S106" i="32"/>
  <c r="W105" i="32"/>
  <c r="S105" i="32"/>
  <c r="W104" i="32"/>
  <c r="S104" i="32"/>
  <c r="W103" i="32"/>
  <c r="S103" i="32"/>
  <c r="W102" i="32"/>
  <c r="S102" i="32"/>
  <c r="W101" i="32"/>
  <c r="S101" i="32"/>
  <c r="W100" i="32"/>
  <c r="S100" i="32"/>
  <c r="W99" i="32"/>
  <c r="S99" i="32"/>
  <c r="W98" i="32"/>
  <c r="S98" i="32"/>
  <c r="W97" i="32"/>
  <c r="S97" i="32"/>
  <c r="W96" i="32"/>
  <c r="S96" i="32"/>
  <c r="W95" i="32"/>
  <c r="S95" i="32"/>
  <c r="W94" i="32"/>
  <c r="S94" i="32"/>
  <c r="W93" i="32"/>
  <c r="S93" i="32"/>
  <c r="W92" i="32"/>
  <c r="S92" i="32"/>
  <c r="W91" i="32"/>
  <c r="S91" i="32"/>
  <c r="W90" i="32"/>
  <c r="S90" i="32"/>
  <c r="W89" i="32"/>
  <c r="S89" i="32"/>
  <c r="W88" i="32"/>
  <c r="S88" i="32"/>
  <c r="W87" i="32"/>
  <c r="S87" i="32"/>
  <c r="W86" i="32"/>
  <c r="S86" i="32"/>
  <c r="W85" i="32"/>
  <c r="S85" i="32"/>
  <c r="W84" i="32"/>
  <c r="S84" i="32"/>
  <c r="W83" i="32"/>
  <c r="S83" i="32"/>
  <c r="W82" i="32"/>
  <c r="S82" i="32"/>
  <c r="W81" i="32"/>
  <c r="S81" i="32"/>
  <c r="W80" i="32"/>
  <c r="S80" i="32"/>
  <c r="W79" i="32"/>
  <c r="S79" i="32"/>
  <c r="W78" i="32"/>
  <c r="S78" i="32"/>
  <c r="W77" i="32"/>
  <c r="S77" i="32"/>
  <c r="W76" i="32"/>
  <c r="S76" i="32"/>
  <c r="W75" i="32"/>
  <c r="S75" i="32"/>
  <c r="W74" i="32"/>
  <c r="S74" i="32"/>
  <c r="W73" i="32"/>
  <c r="S73" i="32"/>
  <c r="W72" i="32"/>
  <c r="S72" i="32"/>
  <c r="W71" i="32"/>
  <c r="S71" i="32"/>
  <c r="W70" i="32"/>
  <c r="S70" i="32"/>
  <c r="W69" i="32"/>
  <c r="S69" i="32"/>
  <c r="W68" i="32"/>
  <c r="S68" i="32"/>
  <c r="W67" i="32"/>
  <c r="S67" i="32"/>
  <c r="W66" i="32"/>
  <c r="S66" i="32"/>
  <c r="W65" i="32"/>
  <c r="S65" i="32"/>
  <c r="W64" i="32"/>
  <c r="S64" i="32"/>
  <c r="W63" i="32"/>
  <c r="S63" i="32"/>
  <c r="W62" i="32"/>
  <c r="S62" i="32"/>
  <c r="W61" i="32"/>
  <c r="S61" i="32"/>
  <c r="W60" i="32"/>
  <c r="S60" i="32"/>
  <c r="W59" i="32"/>
  <c r="S59" i="32"/>
  <c r="W58" i="32"/>
  <c r="S58" i="32"/>
  <c r="W57" i="32"/>
  <c r="S57" i="32"/>
  <c r="W56" i="32"/>
  <c r="S56" i="32"/>
  <c r="W55" i="32"/>
  <c r="S55" i="32"/>
  <c r="W54" i="32"/>
  <c r="S54" i="32"/>
  <c r="W53" i="32"/>
  <c r="S53" i="32"/>
  <c r="W52" i="32"/>
  <c r="S52" i="32"/>
  <c r="W51" i="32"/>
  <c r="S51" i="32"/>
  <c r="W50" i="32"/>
  <c r="S50" i="32"/>
  <c r="W49" i="32"/>
  <c r="S49" i="32"/>
  <c r="W48" i="32"/>
  <c r="S48" i="32"/>
  <c r="W47" i="32"/>
  <c r="S47" i="32"/>
  <c r="W46" i="32"/>
  <c r="S46" i="32"/>
  <c r="W45" i="32"/>
  <c r="S45" i="32"/>
  <c r="W44" i="32"/>
  <c r="S44" i="32"/>
  <c r="W43" i="32"/>
  <c r="S43" i="32"/>
  <c r="W42" i="32"/>
  <c r="S42" i="32"/>
  <c r="W41" i="32"/>
  <c r="S41" i="32"/>
  <c r="W40" i="32"/>
  <c r="S40" i="32"/>
  <c r="W39" i="32"/>
  <c r="S39" i="32"/>
  <c r="W38" i="32"/>
  <c r="S38" i="32"/>
  <c r="W37" i="32"/>
  <c r="S37" i="32"/>
  <c r="W36" i="32"/>
  <c r="S36" i="32"/>
  <c r="W35" i="32"/>
  <c r="S35" i="32"/>
  <c r="W34" i="32"/>
  <c r="S34" i="32"/>
  <c r="W33" i="32"/>
  <c r="S33" i="32"/>
  <c r="W32" i="32"/>
  <c r="S32" i="32"/>
  <c r="W31" i="32"/>
  <c r="S31" i="32"/>
  <c r="W30" i="32"/>
  <c r="S30" i="32"/>
  <c r="W29" i="32"/>
  <c r="S29" i="32"/>
  <c r="W28" i="32"/>
  <c r="S28" i="32"/>
  <c r="W27" i="32"/>
  <c r="S27" i="32"/>
  <c r="W26" i="32"/>
  <c r="S26" i="32"/>
  <c r="W25" i="32"/>
  <c r="S25" i="32"/>
  <c r="W24" i="32"/>
  <c r="S24" i="32"/>
  <c r="W23" i="32"/>
  <c r="S23" i="32"/>
  <c r="W22" i="32"/>
  <c r="S22" i="32"/>
  <c r="W21" i="32"/>
  <c r="S21" i="32"/>
  <c r="W20" i="32"/>
  <c r="S20" i="32"/>
  <c r="W19" i="32"/>
  <c r="S19" i="32"/>
  <c r="W18" i="32"/>
  <c r="S18" i="32"/>
  <c r="W17" i="32"/>
  <c r="S17" i="32"/>
  <c r="W16" i="32"/>
  <c r="S16" i="32"/>
  <c r="W15" i="32"/>
  <c r="S15" i="32"/>
  <c r="W14" i="32"/>
  <c r="S14" i="32"/>
  <c r="W13" i="32"/>
  <c r="S13" i="32"/>
  <c r="W12" i="32"/>
  <c r="S12" i="32"/>
  <c r="W11" i="32"/>
  <c r="S11" i="32"/>
  <c r="W10" i="32"/>
  <c r="S10" i="32"/>
  <c r="W9" i="32"/>
  <c r="S9" i="32"/>
  <c r="W8" i="32"/>
  <c r="S8" i="32"/>
  <c r="W7" i="32"/>
  <c r="S7" i="32"/>
  <c r="W6" i="32"/>
  <c r="S6" i="32"/>
  <c r="W5" i="32"/>
  <c r="S5" i="32"/>
  <c r="W4" i="32"/>
  <c r="S4" i="32"/>
  <c r="K14" i="27"/>
  <c r="B18" i="31"/>
  <c r="B7" i="27"/>
  <c r="J15" i="27"/>
  <c r="I15" i="27"/>
  <c r="B27" i="19"/>
  <c r="J14" i="27"/>
  <c r="X15" i="27"/>
  <c r="L15" i="27"/>
  <c r="L14" i="27"/>
  <c r="I14" i="27"/>
  <c r="H14" i="27"/>
  <c r="H15" i="27"/>
  <c r="G15" i="27"/>
  <c r="G14" i="27"/>
  <c r="AD93" i="23"/>
  <c r="G16" i="27" s="1"/>
  <c r="E17" i="27"/>
  <c r="AA15" i="27"/>
  <c r="Z15" i="27"/>
  <c r="Y15" i="27"/>
  <c r="S14" i="27"/>
  <c r="R14" i="27"/>
  <c r="Q14" i="27"/>
  <c r="W15" i="27"/>
  <c r="R15" i="27"/>
  <c r="Q15" i="27"/>
  <c r="F15" i="27"/>
  <c r="M15" i="27"/>
  <c r="C15" i="27"/>
  <c r="C14" i="27"/>
  <c r="F14" i="27"/>
  <c r="M14" i="27"/>
  <c r="Y4" i="27"/>
  <c r="V5" i="27"/>
  <c r="A8" i="23"/>
  <c r="B57" i="24"/>
  <c r="F2" i="45"/>
  <c r="P207" i="23"/>
  <c r="X207" i="23"/>
  <c r="I23" i="29"/>
  <c r="J63" i="46"/>
  <c r="J62" i="46"/>
  <c r="AI303" i="23"/>
  <c r="AC38" i="46"/>
  <c r="Z67" i="46" s="1"/>
  <c r="AC34" i="46"/>
  <c r="J37" i="46"/>
  <c r="J73" i="46"/>
  <c r="J72" i="46"/>
  <c r="J70" i="46"/>
  <c r="AI302" i="23"/>
  <c r="J123" i="46"/>
  <c r="J107" i="46"/>
  <c r="J71" i="46"/>
  <c r="J97" i="46"/>
  <c r="AI97" i="46" s="1"/>
  <c r="L97" i="46" s="1"/>
  <c r="J43" i="46"/>
  <c r="J58" i="46"/>
  <c r="J69" i="46"/>
  <c r="J80" i="46"/>
  <c r="J49" i="46"/>
  <c r="J83" i="46"/>
  <c r="AI83" i="46" s="1"/>
  <c r="J77" i="46"/>
  <c r="J33" i="46"/>
  <c r="J57" i="46"/>
  <c r="J79" i="46"/>
  <c r="AI79" i="46" s="1"/>
  <c r="L79" i="46" s="1"/>
  <c r="J84" i="46"/>
  <c r="AI84" i="46" s="1"/>
  <c r="J44" i="46"/>
  <c r="J78" i="46"/>
  <c r="AI78" i="46" s="1"/>
  <c r="J30" i="46"/>
  <c r="M12" i="46"/>
  <c r="M20" i="46" s="1"/>
  <c r="W26" i="46"/>
  <c r="D26" i="46" s="1"/>
  <c r="BE3" i="46"/>
  <c r="AI113" i="46"/>
  <c r="A132" i="46"/>
  <c r="I147" i="46"/>
  <c r="Q42" i="46"/>
  <c r="W42" i="46" s="1"/>
  <c r="D42" i="46" s="1"/>
  <c r="N41" i="46"/>
  <c r="A3" i="19"/>
  <c r="AI162" i="23"/>
  <c r="AU79" i="46"/>
  <c r="AS79" i="46" s="1"/>
  <c r="AU70" i="46"/>
  <c r="AS70" i="46" s="1"/>
  <c r="AU102" i="46"/>
  <c r="AS102" i="46" s="1"/>
  <c r="AU57" i="46"/>
  <c r="AS57" i="46" s="1"/>
  <c r="AU50" i="46"/>
  <c r="AS50" i="46" s="1"/>
  <c r="AU40" i="46"/>
  <c r="AU84" i="46"/>
  <c r="T29" i="44"/>
  <c r="T28" i="44"/>
  <c r="T31" i="44"/>
  <c r="O31" i="44"/>
  <c r="O29" i="44"/>
  <c r="AD123" i="46"/>
  <c r="O75" i="40"/>
  <c r="O34" i="40"/>
  <c r="AI25" i="23"/>
  <c r="AI20" i="23"/>
  <c r="AI37" i="23"/>
  <c r="AI102" i="46"/>
  <c r="L102" i="46" s="1"/>
  <c r="AI35" i="23"/>
  <c r="AI36" i="23"/>
  <c r="AI21" i="23"/>
  <c r="M2" i="44"/>
  <c r="H2" i="19"/>
  <c r="R2" i="40"/>
  <c r="Q2" i="46"/>
  <c r="I2" i="24"/>
  <c r="AC2" i="27"/>
  <c r="J2" i="35"/>
  <c r="J28" i="44"/>
  <c r="J31" i="44"/>
  <c r="J30" i="44"/>
  <c r="N75" i="40"/>
  <c r="U48" i="44"/>
  <c r="U57" i="44"/>
  <c r="U44" i="44"/>
  <c r="U62" i="44"/>
  <c r="U46" i="44"/>
  <c r="U58" i="44"/>
  <c r="U53" i="44"/>
  <c r="U42" i="44"/>
  <c r="U43" i="44"/>
  <c r="U52" i="44"/>
  <c r="U55" i="44"/>
  <c r="U50" i="44"/>
  <c r="L75" i="40"/>
  <c r="G75" i="40"/>
  <c r="J75" i="40"/>
  <c r="M75" i="40"/>
  <c r="H75" i="40"/>
  <c r="I75" i="40"/>
  <c r="E75" i="40"/>
  <c r="K75" i="40"/>
  <c r="F75" i="40"/>
  <c r="G51" i="44"/>
  <c r="Q51" i="44" s="1"/>
  <c r="G54" i="44"/>
  <c r="Q54" i="44" s="1"/>
  <c r="G59" i="44"/>
  <c r="Q59" i="44" s="1"/>
  <c r="G61" i="44"/>
  <c r="Q61" i="44" s="1"/>
  <c r="G46" i="44"/>
  <c r="Q46" i="44" s="1"/>
  <c r="G49" i="44"/>
  <c r="Q49" i="44" s="1"/>
  <c r="G56" i="44"/>
  <c r="Q56" i="44" s="1"/>
  <c r="G47" i="44"/>
  <c r="Q47" i="44" s="1"/>
  <c r="T46" i="44"/>
  <c r="AV13" i="46"/>
  <c r="AU13" i="46"/>
  <c r="BG13" i="46" s="1"/>
  <c r="G45" i="44"/>
  <c r="N34" i="40"/>
  <c r="E34" i="40"/>
  <c r="J34" i="40"/>
  <c r="I34" i="40"/>
  <c r="L34" i="40"/>
  <c r="D34" i="40"/>
  <c r="M34" i="40"/>
  <c r="K34" i="40"/>
  <c r="G34" i="40"/>
  <c r="H34" i="40"/>
  <c r="F34" i="40"/>
  <c r="D75" i="40"/>
  <c r="T56" i="44"/>
  <c r="T61" i="44"/>
  <c r="T54" i="44"/>
  <c r="T51" i="44"/>
  <c r="T47" i="44"/>
  <c r="T49" i="44"/>
  <c r="T59" i="44"/>
  <c r="T60" i="44"/>
  <c r="AU12" i="46"/>
  <c r="T45" i="44"/>
  <c r="Y46" i="44"/>
  <c r="AV12" i="46"/>
  <c r="Y49" i="44"/>
  <c r="Y51" i="44"/>
  <c r="Y56" i="44"/>
  <c r="Y61" i="44"/>
  <c r="Y59" i="44"/>
  <c r="Y60" i="44"/>
  <c r="T41" i="44"/>
  <c r="AV8" i="46"/>
  <c r="Y45" i="44"/>
  <c r="Y47" i="44"/>
  <c r="Y54" i="44"/>
  <c r="U41" i="44"/>
  <c r="Y41" i="44"/>
  <c r="J64" i="46"/>
  <c r="J66" i="46"/>
  <c r="J29" i="46"/>
  <c r="J39" i="46"/>
  <c r="J38" i="46"/>
  <c r="J67" i="46"/>
  <c r="J36" i="46"/>
  <c r="J26" i="46"/>
  <c r="AI26" i="46" s="1"/>
  <c r="AI31" i="23" l="1"/>
  <c r="Y8" i="35"/>
  <c r="AF26" i="44"/>
  <c r="H26" i="44" s="1"/>
  <c r="P29" i="44" s="1"/>
  <c r="S55" i="44"/>
  <c r="S135" i="44"/>
  <c r="S81" i="44"/>
  <c r="S87" i="44"/>
  <c r="S105" i="44"/>
  <c r="S97" i="44"/>
  <c r="S63" i="44"/>
  <c r="S119" i="44"/>
  <c r="S121" i="44"/>
  <c r="S129" i="44"/>
  <c r="BG8" i="46"/>
  <c r="Q64" i="44"/>
  <c r="S95" i="44"/>
  <c r="S73" i="44"/>
  <c r="S52" i="44"/>
  <c r="S137" i="44"/>
  <c r="U103" i="44"/>
  <c r="A131" i="46"/>
  <c r="U87" i="44"/>
  <c r="U106" i="44"/>
  <c r="O41" i="44"/>
  <c r="G41" i="44" s="1"/>
  <c r="Q41" i="44" s="1"/>
  <c r="U79" i="44"/>
  <c r="U135" i="44"/>
  <c r="U63" i="44"/>
  <c r="U127" i="44"/>
  <c r="O72" i="44"/>
  <c r="G72" i="44" s="1"/>
  <c r="Q72" i="44" s="1"/>
  <c r="AW61" i="46"/>
  <c r="O42" i="46"/>
  <c r="AA78" i="23" s="1"/>
  <c r="AI78" i="23" s="1"/>
  <c r="J75" i="23" s="1"/>
  <c r="AJ21" i="23" s="1"/>
  <c r="B21" i="23" s="1"/>
  <c r="AS80" i="46"/>
  <c r="AS67" i="46"/>
  <c r="AW3" i="46"/>
  <c r="AI82" i="46"/>
  <c r="M82" i="46" s="1"/>
  <c r="AG82" i="46" s="1"/>
  <c r="I20" i="46"/>
  <c r="AI94" i="46"/>
  <c r="L94" i="46" s="1"/>
  <c r="BA40" i="46"/>
  <c r="AY3" i="46"/>
  <c r="AY79" i="46" s="1"/>
  <c r="AW106" i="46"/>
  <c r="AI85" i="46"/>
  <c r="AJ85" i="46" s="1"/>
  <c r="AW58" i="46"/>
  <c r="I123" i="46"/>
  <c r="BC90" i="46"/>
  <c r="D35" i="46"/>
  <c r="N16" i="46"/>
  <c r="N19" i="46" s="1"/>
  <c r="L20" i="46"/>
  <c r="N41" i="44" s="1"/>
  <c r="N42" i="44" s="1"/>
  <c r="N43" i="44" s="1"/>
  <c r="AI121" i="46"/>
  <c r="L121" i="46" s="1"/>
  <c r="AI105" i="46"/>
  <c r="AJ105" i="46" s="1"/>
  <c r="AI103" i="46"/>
  <c r="M103" i="46" s="1"/>
  <c r="H20" i="46"/>
  <c r="AI119" i="46"/>
  <c r="L119" i="46" s="1"/>
  <c r="AI108" i="46"/>
  <c r="AJ108" i="46" s="1"/>
  <c r="AI99" i="46"/>
  <c r="L99" i="46" s="1"/>
  <c r="N8" i="46"/>
  <c r="R28" i="46" s="1"/>
  <c r="AI123" i="46"/>
  <c r="AJ123" i="46" s="1"/>
  <c r="AS85" i="46"/>
  <c r="AI89" i="46"/>
  <c r="L89" i="46" s="1"/>
  <c r="AI109" i="46"/>
  <c r="M109" i="46" s="1"/>
  <c r="AG109" i="46" s="1"/>
  <c r="AI95" i="46"/>
  <c r="M95" i="46" s="1"/>
  <c r="AG95" i="46" s="1"/>
  <c r="J144" i="46"/>
  <c r="D31" i="46"/>
  <c r="T207" i="23"/>
  <c r="N207" i="23"/>
  <c r="F207" i="23"/>
  <c r="N42" i="46"/>
  <c r="D142" i="46" s="1"/>
  <c r="T204" i="23"/>
  <c r="AI39" i="23"/>
  <c r="B39" i="23" s="1"/>
  <c r="F204" i="23"/>
  <c r="X204" i="23"/>
  <c r="L204" i="23"/>
  <c r="P204" i="23"/>
  <c r="N204" i="23"/>
  <c r="H204" i="23"/>
  <c r="AB204" i="23"/>
  <c r="J204" i="23"/>
  <c r="AA56" i="23"/>
  <c r="AI56" i="23" s="1"/>
  <c r="I27" i="29"/>
  <c r="I31" i="29" s="1"/>
  <c r="I35" i="29" s="1"/>
  <c r="AS103" i="46"/>
  <c r="BG103" i="46"/>
  <c r="BA103" i="46"/>
  <c r="BG65" i="46"/>
  <c r="L198" i="23"/>
  <c r="J198" i="23"/>
  <c r="T195" i="23"/>
  <c r="BA65" i="46"/>
  <c r="P198" i="23"/>
  <c r="T198" i="23"/>
  <c r="F198" i="23"/>
  <c r="F195" i="23"/>
  <c r="BI65" i="46"/>
  <c r="BC65" i="46"/>
  <c r="V198" i="23"/>
  <c r="AB198" i="23"/>
  <c r="BG67" i="46"/>
  <c r="O73" i="40"/>
  <c r="M101" i="46"/>
  <c r="AG101" i="46" s="1"/>
  <c r="U45" i="44"/>
  <c r="U66" i="44"/>
  <c r="U114" i="44"/>
  <c r="U122" i="44"/>
  <c r="U77" i="44"/>
  <c r="U101" i="44"/>
  <c r="U125" i="44"/>
  <c r="U60" i="44"/>
  <c r="U129" i="44"/>
  <c r="V37" i="44"/>
  <c r="U51" i="44"/>
  <c r="U130" i="44"/>
  <c r="U90" i="44"/>
  <c r="U47" i="44"/>
  <c r="U72" i="44"/>
  <c r="U88" i="44"/>
  <c r="U104" i="44"/>
  <c r="U120" i="44"/>
  <c r="U61" i="44"/>
  <c r="U85" i="44"/>
  <c r="U109" i="44"/>
  <c r="U133" i="44"/>
  <c r="U65" i="44"/>
  <c r="U132" i="44"/>
  <c r="U54" i="44"/>
  <c r="U138" i="44"/>
  <c r="U98" i="44"/>
  <c r="U56" i="44"/>
  <c r="U69" i="44"/>
  <c r="U93" i="44"/>
  <c r="U117" i="44"/>
  <c r="U68" i="44"/>
  <c r="U49" i="44"/>
  <c r="U124" i="44"/>
  <c r="U136" i="44"/>
  <c r="U82" i="44"/>
  <c r="U64" i="44"/>
  <c r="U80" i="44"/>
  <c r="U96" i="44"/>
  <c r="U112" i="44"/>
  <c r="U128" i="44"/>
  <c r="U139" i="44"/>
  <c r="U71" i="44"/>
  <c r="U95" i="44"/>
  <c r="U119" i="44"/>
  <c r="BC67" i="46"/>
  <c r="Q32" i="44"/>
  <c r="O32" i="44"/>
  <c r="BI67" i="46"/>
  <c r="G88" i="44"/>
  <c r="Q88" i="44" s="1"/>
  <c r="G112" i="44"/>
  <c r="Q112" i="44" s="1"/>
  <c r="G50" i="44"/>
  <c r="Q50" i="44" s="1"/>
  <c r="G66" i="44"/>
  <c r="Q66" i="44" s="1"/>
  <c r="G90" i="44"/>
  <c r="Q90" i="44" s="1"/>
  <c r="G114" i="44"/>
  <c r="Q114" i="44" s="1"/>
  <c r="AL3" i="46"/>
  <c r="AL4" i="46"/>
  <c r="Q28" i="44"/>
  <c r="BE4" i="46"/>
  <c r="BE84" i="46" s="1"/>
  <c r="AI104" i="46"/>
  <c r="M104" i="46" s="1"/>
  <c r="AG104" i="46" s="1"/>
  <c r="O138" i="44"/>
  <c r="G138" i="44" s="1"/>
  <c r="Q138" i="44" s="1"/>
  <c r="AI111" i="46"/>
  <c r="L111" i="46" s="1"/>
  <c r="AI92" i="46"/>
  <c r="L92" i="46" s="1"/>
  <c r="AI114" i="46"/>
  <c r="L114" i="46" s="1"/>
  <c r="AI106" i="46"/>
  <c r="O128" i="44"/>
  <c r="AI117" i="46"/>
  <c r="L117" i="46" s="1"/>
  <c r="R65" i="46"/>
  <c r="D66" i="46" s="1"/>
  <c r="AI88" i="46"/>
  <c r="M88" i="46" s="1"/>
  <c r="AG88" i="46" s="1"/>
  <c r="AI86" i="46"/>
  <c r="AJ86" i="46" s="1"/>
  <c r="M96" i="46"/>
  <c r="AG96" i="46" s="1"/>
  <c r="T12" i="32"/>
  <c r="U12" i="32" s="1"/>
  <c r="T9" i="32"/>
  <c r="U9" i="32" s="1"/>
  <c r="T11" i="32"/>
  <c r="U11" i="32" s="1"/>
  <c r="T8" i="32"/>
  <c r="U8" i="32" s="1"/>
  <c r="T14" i="32"/>
  <c r="T69" i="32"/>
  <c r="U69" i="32" s="1"/>
  <c r="T21" i="32"/>
  <c r="U21" i="32" s="1"/>
  <c r="T10" i="32"/>
  <c r="U10" i="32" s="1"/>
  <c r="T446" i="32"/>
  <c r="U446" i="32" s="1"/>
  <c r="T289" i="32"/>
  <c r="U289" i="32" s="1"/>
  <c r="T132" i="32"/>
  <c r="T486" i="32"/>
  <c r="U486" i="32" s="1"/>
  <c r="T629" i="32"/>
  <c r="U629" i="32" s="1"/>
  <c r="T287" i="32"/>
  <c r="U287" i="32" s="1"/>
  <c r="T523" i="32"/>
  <c r="U523" i="32" s="1"/>
  <c r="T635" i="32"/>
  <c r="U635" i="32" s="1"/>
  <c r="T366" i="32"/>
  <c r="U366" i="32" s="1"/>
  <c r="T155" i="32"/>
  <c r="T674" i="32"/>
  <c r="U674" i="32" s="1"/>
  <c r="T586" i="32"/>
  <c r="U586" i="32" s="1"/>
  <c r="T431" i="32"/>
  <c r="U431" i="32" s="1"/>
  <c r="T305" i="32"/>
  <c r="U305" i="32" s="1"/>
  <c r="T320" i="32"/>
  <c r="U320" i="32" s="1"/>
  <c r="T394" i="32"/>
  <c r="U394" i="32" s="1"/>
  <c r="T534" i="32"/>
  <c r="U534" i="32" s="1"/>
  <c r="T341" i="32"/>
  <c r="U341" i="32" s="1"/>
  <c r="T245" i="32"/>
  <c r="U245" i="32" s="1"/>
  <c r="T413" i="32"/>
  <c r="U413" i="32" s="1"/>
  <c r="T346" i="32"/>
  <c r="U346" i="32" s="1"/>
  <c r="T303" i="32"/>
  <c r="U303" i="32" s="1"/>
  <c r="T472" i="32"/>
  <c r="U472" i="32" s="1"/>
  <c r="T557" i="32"/>
  <c r="U557" i="32" s="1"/>
  <c r="T77" i="32"/>
  <c r="T134" i="32"/>
  <c r="U134" i="32" s="1"/>
  <c r="T47" i="32"/>
  <c r="U47" i="32" s="1"/>
  <c r="T417" i="32"/>
  <c r="U417" i="32" s="1"/>
  <c r="T387" i="32"/>
  <c r="U387" i="32" s="1"/>
  <c r="T370" i="32"/>
  <c r="U370" i="32" s="1"/>
  <c r="T272" i="32"/>
  <c r="U272" i="32" s="1"/>
  <c r="T493" i="32"/>
  <c r="U493" i="32" s="1"/>
  <c r="T669" i="32"/>
  <c r="U669" i="32" s="1"/>
  <c r="T553" i="32"/>
  <c r="U553" i="32" s="1"/>
  <c r="T483" i="32"/>
  <c r="U483" i="32" s="1"/>
  <c r="T497" i="32"/>
  <c r="U497" i="32" s="1"/>
  <c r="T290" i="32"/>
  <c r="U290" i="32" s="1"/>
  <c r="T355" i="32"/>
  <c r="U355" i="32" s="1"/>
  <c r="T476" i="32"/>
  <c r="U476" i="32" s="1"/>
  <c r="T609" i="32"/>
  <c r="U609" i="32" s="1"/>
  <c r="T39" i="32"/>
  <c r="T127" i="32"/>
  <c r="U127" i="32" s="1"/>
  <c r="T136" i="32"/>
  <c r="U136" i="32" s="1"/>
  <c r="T326" i="32"/>
  <c r="U326" i="32" s="1"/>
  <c r="T78" i="32"/>
  <c r="T234" i="32"/>
  <c r="U234" i="32" s="1"/>
  <c r="T296" i="32"/>
  <c r="U296" i="32" s="1"/>
  <c r="T92" i="32"/>
  <c r="U92" i="32" s="1"/>
  <c r="T109" i="32"/>
  <c r="T603" i="32"/>
  <c r="U603" i="32" s="1"/>
  <c r="T237" i="32"/>
  <c r="U237" i="32" s="1"/>
  <c r="T487" i="32"/>
  <c r="U487" i="32" s="1"/>
  <c r="T101" i="32"/>
  <c r="U101" i="32" s="1"/>
  <c r="T175" i="32"/>
  <c r="T138" i="32"/>
  <c r="U138" i="32" s="1"/>
  <c r="T122" i="32"/>
  <c r="U122" i="32" s="1"/>
  <c r="T139" i="32"/>
  <c r="T19" i="32"/>
  <c r="U19" i="32" s="1"/>
  <c r="T55" i="32"/>
  <c r="U55" i="32" s="1"/>
  <c r="T207" i="32"/>
  <c r="U207" i="32" s="1"/>
  <c r="T375" i="32"/>
  <c r="U375" i="32" s="1"/>
  <c r="T119" i="32"/>
  <c r="U119" i="32" s="1"/>
  <c r="T556" i="32"/>
  <c r="U556" i="32" s="1"/>
  <c r="T452" i="32"/>
  <c r="U452" i="32" s="1"/>
  <c r="T288" i="32"/>
  <c r="U288" i="32" s="1"/>
  <c r="T409" i="32"/>
  <c r="U409" i="32" s="1"/>
  <c r="T625" i="32"/>
  <c r="U625" i="32" s="1"/>
  <c r="T632" i="32"/>
  <c r="U632" i="32" s="1"/>
  <c r="T621" i="32"/>
  <c r="U621" i="32" s="1"/>
  <c r="T448" i="32"/>
  <c r="U448" i="32" s="1"/>
  <c r="T336" i="32"/>
  <c r="U336" i="32" s="1"/>
  <c r="T633" i="32"/>
  <c r="U633" i="32" s="1"/>
  <c r="T261" i="32"/>
  <c r="U261" i="32" s="1"/>
  <c r="T358" i="32"/>
  <c r="U358" i="32" s="1"/>
  <c r="T660" i="32"/>
  <c r="U660" i="32" s="1"/>
  <c r="T564" i="32"/>
  <c r="U564" i="32" s="1"/>
  <c r="T613" i="32"/>
  <c r="U613" i="32" s="1"/>
  <c r="T492" i="32"/>
  <c r="U492" i="32" s="1"/>
  <c r="T396" i="32"/>
  <c r="U396" i="32" s="1"/>
  <c r="T300" i="32"/>
  <c r="U300" i="32" s="1"/>
  <c r="T513" i="32"/>
  <c r="U513" i="32" s="1"/>
  <c r="T541" i="32"/>
  <c r="U541" i="32" s="1"/>
  <c r="T137" i="32"/>
  <c r="U137" i="32" s="1"/>
  <c r="T359" i="32"/>
  <c r="U359" i="32" s="1"/>
  <c r="T82" i="32"/>
  <c r="U82" i="32" s="1"/>
  <c r="T152" i="32"/>
  <c r="U152" i="32" s="1"/>
  <c r="T200" i="32"/>
  <c r="U200" i="32" s="1"/>
  <c r="T330" i="32"/>
  <c r="U330" i="32" s="1"/>
  <c r="T158" i="32"/>
  <c r="T166" i="32"/>
  <c r="U166" i="32" s="1"/>
  <c r="T51" i="32"/>
  <c r="U51" i="32" s="1"/>
  <c r="T16" i="32"/>
  <c r="U16" i="32" s="1"/>
  <c r="T73" i="32"/>
  <c r="U73" i="32" s="1"/>
  <c r="T125" i="32"/>
  <c r="U125" i="32" s="1"/>
  <c r="T233" i="32"/>
  <c r="T587" i="32"/>
  <c r="U587" i="32" s="1"/>
  <c r="T182" i="32"/>
  <c r="U182" i="32" s="1"/>
  <c r="T491" i="32"/>
  <c r="U491" i="32" s="1"/>
  <c r="T46" i="32"/>
  <c r="U46" i="32" s="1"/>
  <c r="T254" i="32"/>
  <c r="U254" i="32" s="1"/>
  <c r="T490" i="32"/>
  <c r="U490" i="32" s="1"/>
  <c r="T61" i="32"/>
  <c r="U61" i="32" s="1"/>
  <c r="T198" i="32"/>
  <c r="U198" i="32" s="1"/>
  <c r="T347" i="32"/>
  <c r="U347" i="32" s="1"/>
  <c r="T154" i="32"/>
  <c r="U154" i="32" s="1"/>
  <c r="T45" i="32"/>
  <c r="U45" i="32" s="1"/>
  <c r="T183" i="32"/>
  <c r="U183" i="32" s="1"/>
  <c r="T283" i="32"/>
  <c r="U283" i="32" s="1"/>
  <c r="T309" i="32"/>
  <c r="U309" i="32" s="1"/>
  <c r="T471" i="32"/>
  <c r="U471" i="32" s="1"/>
  <c r="T141" i="32"/>
  <c r="U141" i="32" s="1"/>
  <c r="T199" i="32"/>
  <c r="U199" i="32" s="1"/>
  <c r="T620" i="32"/>
  <c r="U620" i="32" s="1"/>
  <c r="T565" i="32"/>
  <c r="U565" i="32" s="1"/>
  <c r="T356" i="32"/>
  <c r="U356" i="32" s="1"/>
  <c r="T473" i="32"/>
  <c r="U473" i="32" s="1"/>
  <c r="T345" i="32"/>
  <c r="U345" i="32" s="1"/>
  <c r="T659" i="32"/>
  <c r="U659" i="32" s="1"/>
  <c r="T552" i="32"/>
  <c r="U552" i="32" s="1"/>
  <c r="T505" i="32"/>
  <c r="U505" i="32" s="1"/>
  <c r="T384" i="32"/>
  <c r="U384" i="32" s="1"/>
  <c r="T280" i="32"/>
  <c r="U280" i="32" s="1"/>
  <c r="T537" i="32"/>
  <c r="U537" i="32" s="1"/>
  <c r="T405" i="32"/>
  <c r="U405" i="32" s="1"/>
  <c r="T666" i="32"/>
  <c r="U666" i="32" s="1"/>
  <c r="T612" i="32"/>
  <c r="U612" i="32" s="1"/>
  <c r="T532" i="32"/>
  <c r="U532" i="32" s="1"/>
  <c r="T549" i="32"/>
  <c r="U549" i="32" s="1"/>
  <c r="T444" i="32"/>
  <c r="U444" i="32" s="1"/>
  <c r="T348" i="32"/>
  <c r="U348" i="32" s="1"/>
  <c r="T500" i="32"/>
  <c r="U500" i="32" s="1"/>
  <c r="T640" i="32"/>
  <c r="U640" i="32" s="1"/>
  <c r="T344" i="32"/>
  <c r="U344" i="32" s="1"/>
  <c r="T369" i="32"/>
  <c r="U369" i="32" s="1"/>
  <c r="T397" i="32"/>
  <c r="U397" i="32" s="1"/>
  <c r="T310" i="32"/>
  <c r="U310" i="32" s="1"/>
  <c r="T382" i="32"/>
  <c r="U382" i="32" s="1"/>
  <c r="T626" i="32"/>
  <c r="U626" i="32" s="1"/>
  <c r="T403" i="32"/>
  <c r="U403" i="32" s="1"/>
  <c r="T306" i="32"/>
  <c r="U306" i="32" s="1"/>
  <c r="T514" i="32"/>
  <c r="U514" i="32" s="1"/>
  <c r="T319" i="32"/>
  <c r="U319" i="32" s="1"/>
  <c r="T291" i="32"/>
  <c r="U291" i="32" s="1"/>
  <c r="T575" i="32"/>
  <c r="U575" i="32" s="1"/>
  <c r="T508" i="32"/>
  <c r="U508" i="32" s="1"/>
  <c r="T429" i="32"/>
  <c r="U429" i="32" s="1"/>
  <c r="T530" i="32"/>
  <c r="U530" i="32" s="1"/>
  <c r="T307" i="32"/>
  <c r="U307" i="32" s="1"/>
  <c r="T266" i="32"/>
  <c r="U266" i="32" s="1"/>
  <c r="T442" i="32"/>
  <c r="U442" i="32" s="1"/>
  <c r="T535" i="32"/>
  <c r="U535" i="32" s="1"/>
  <c r="T574" i="32"/>
  <c r="U574" i="32" s="1"/>
  <c r="T611" i="32"/>
  <c r="U611" i="32" s="1"/>
  <c r="T544" i="32"/>
  <c r="U544" i="32" s="1"/>
  <c r="T649" i="32"/>
  <c r="U649" i="32" s="1"/>
  <c r="T321" i="32"/>
  <c r="U321" i="32" s="1"/>
  <c r="T333" i="32"/>
  <c r="U333" i="32" s="1"/>
  <c r="T258" i="32"/>
  <c r="U258" i="32" s="1"/>
  <c r="T334" i="32"/>
  <c r="U334" i="32" s="1"/>
  <c r="T494" i="32"/>
  <c r="U494" i="32" s="1"/>
  <c r="T419" i="32"/>
  <c r="U419" i="32" s="1"/>
  <c r="T270" i="32"/>
  <c r="U270" i="32" s="1"/>
  <c r="T418" i="32"/>
  <c r="U418" i="32" s="1"/>
  <c r="T295" i="32"/>
  <c r="U295" i="32" s="1"/>
  <c r="T642" i="32"/>
  <c r="U642" i="32" s="1"/>
  <c r="T456" i="32"/>
  <c r="U456" i="32" s="1"/>
  <c r="T120" i="32"/>
  <c r="U120" i="32" s="1"/>
  <c r="T230" i="32"/>
  <c r="U230" i="32" s="1"/>
  <c r="T210" i="32"/>
  <c r="U210" i="32" s="1"/>
  <c r="T240" i="32"/>
  <c r="U240" i="32" s="1"/>
  <c r="T86" i="32"/>
  <c r="U86" i="32" s="1"/>
  <c r="T602" i="32"/>
  <c r="U602" i="32" s="1"/>
  <c r="T459" i="32"/>
  <c r="U459" i="32" s="1"/>
  <c r="T103" i="32"/>
  <c r="U103" i="32" s="1"/>
  <c r="T190" i="32"/>
  <c r="T550" i="32"/>
  <c r="U550" i="32" s="1"/>
  <c r="T129" i="32"/>
  <c r="T48" i="32"/>
  <c r="U48" i="32" s="1"/>
  <c r="T193" i="32"/>
  <c r="U193" i="32" s="1"/>
  <c r="T665" i="32"/>
  <c r="U665" i="32" s="1"/>
  <c r="T53" i="32"/>
  <c r="U53" i="32" s="1"/>
  <c r="T617" i="32"/>
  <c r="U617" i="32" s="1"/>
  <c r="T391" i="32"/>
  <c r="U391" i="32" s="1"/>
  <c r="T50" i="32"/>
  <c r="U50" i="32" s="1"/>
  <c r="T64" i="32"/>
  <c r="U64" i="32" s="1"/>
  <c r="T661" i="32"/>
  <c r="U661" i="32" s="1"/>
  <c r="T114" i="32"/>
  <c r="U114" i="32" s="1"/>
  <c r="T49" i="32"/>
  <c r="U49" i="32" s="1"/>
  <c r="T211" i="32"/>
  <c r="U211" i="32" s="1"/>
  <c r="T588" i="32"/>
  <c r="U588" i="32" s="1"/>
  <c r="T533" i="32"/>
  <c r="U533" i="32" s="1"/>
  <c r="T340" i="32"/>
  <c r="U340" i="32" s="1"/>
  <c r="T457" i="32"/>
  <c r="U457" i="32" s="1"/>
  <c r="T313" i="32"/>
  <c r="U313" i="32" s="1"/>
  <c r="T668" i="32"/>
  <c r="U668" i="32" s="1"/>
  <c r="T536" i="32"/>
  <c r="U536" i="32" s="1"/>
  <c r="T480" i="32"/>
  <c r="U480" i="32" s="1"/>
  <c r="T368" i="32"/>
  <c r="U368" i="32" s="1"/>
  <c r="T248" i="32"/>
  <c r="U248" i="32" s="1"/>
  <c r="T293" i="32"/>
  <c r="U293" i="32" s="1"/>
  <c r="T284" i="32"/>
  <c r="U284" i="32" s="1"/>
  <c r="T671" i="32"/>
  <c r="U671" i="32" s="1"/>
  <c r="T596" i="32"/>
  <c r="U596" i="32" s="1"/>
  <c r="T516" i="32"/>
  <c r="U516" i="32" s="1"/>
  <c r="T517" i="32"/>
  <c r="U517" i="32" s="1"/>
  <c r="T428" i="32"/>
  <c r="U428" i="32" s="1"/>
  <c r="T332" i="32"/>
  <c r="U332" i="32" s="1"/>
  <c r="T641" i="32"/>
  <c r="U641" i="32" s="1"/>
  <c r="T576" i="32"/>
  <c r="U576" i="32" s="1"/>
  <c r="T264" i="32"/>
  <c r="U264" i="32" s="1"/>
  <c r="T337" i="32"/>
  <c r="U337" i="32" s="1"/>
  <c r="T349" i="32"/>
  <c r="U349" i="32" s="1"/>
  <c r="T414" i="32"/>
  <c r="U414" i="32" s="1"/>
  <c r="T255" i="32"/>
  <c r="U255" i="32" s="1"/>
  <c r="T435" i="32"/>
  <c r="U435" i="32" s="1"/>
  <c r="T338" i="32"/>
  <c r="U338" i="32" s="1"/>
  <c r="T335" i="32"/>
  <c r="U335" i="32" s="1"/>
  <c r="T415" i="32"/>
  <c r="U415" i="32" s="1"/>
  <c r="T479" i="32"/>
  <c r="U479" i="32" s="1"/>
  <c r="T499" i="32"/>
  <c r="U499" i="32" s="1"/>
  <c r="T667" i="32"/>
  <c r="U667" i="32" s="1"/>
  <c r="T263" i="32"/>
  <c r="U263" i="32" s="1"/>
  <c r="T354" i="32"/>
  <c r="U354" i="32" s="1"/>
  <c r="T562" i="32"/>
  <c r="U562" i="32" s="1"/>
  <c r="T373" i="32"/>
  <c r="U373" i="32" s="1"/>
  <c r="T461" i="32"/>
  <c r="U461" i="32" s="1"/>
  <c r="T449" i="32"/>
  <c r="U449" i="32" s="1"/>
  <c r="T605" i="32"/>
  <c r="U605" i="32" s="1"/>
  <c r="T571" i="32"/>
  <c r="U571" i="32" s="1"/>
  <c r="T510" i="32"/>
  <c r="U510" i="32" s="1"/>
  <c r="T314" i="32"/>
  <c r="U314" i="32" s="1"/>
  <c r="T363" i="32"/>
  <c r="U363" i="32" s="1"/>
  <c r="T453" i="32"/>
  <c r="U453" i="32" s="1"/>
  <c r="T328" i="32"/>
  <c r="U328" i="32" s="1"/>
  <c r="T551" i="32"/>
  <c r="U551" i="32" s="1"/>
  <c r="T259" i="32"/>
  <c r="U259" i="32" s="1"/>
  <c r="T399" i="32"/>
  <c r="U399" i="32" s="1"/>
  <c r="T279" i="32"/>
  <c r="U279" i="32" s="1"/>
  <c r="T282" i="32"/>
  <c r="U282" i="32" s="1"/>
  <c r="T331" i="32"/>
  <c r="U331" i="32" s="1"/>
  <c r="T350" i="32"/>
  <c r="U350" i="32" s="1"/>
  <c r="T389" i="32"/>
  <c r="U389" i="32" s="1"/>
  <c r="T401" i="32"/>
  <c r="U401" i="32" s="1"/>
  <c r="T512" i="32"/>
  <c r="U512" i="32" s="1"/>
  <c r="T316" i="32"/>
  <c r="U316" i="32" s="1"/>
  <c r="T501" i="32"/>
  <c r="U501" i="32" s="1"/>
  <c r="T580" i="32"/>
  <c r="U580" i="32" s="1"/>
  <c r="T277" i="32"/>
  <c r="U277" i="32" s="1"/>
  <c r="T352" i="32"/>
  <c r="U352" i="32" s="1"/>
  <c r="T520" i="32"/>
  <c r="U520" i="32" s="1"/>
  <c r="T265" i="32"/>
  <c r="U265" i="32" s="1"/>
  <c r="T324" i="32"/>
  <c r="U324" i="32" s="1"/>
  <c r="T572" i="32"/>
  <c r="U572" i="32" s="1"/>
  <c r="T267" i="32"/>
  <c r="U267" i="32" s="1"/>
  <c r="T23" i="32"/>
  <c r="U23" i="32" s="1"/>
  <c r="T528" i="32"/>
  <c r="U528" i="32" s="1"/>
  <c r="T96" i="32"/>
  <c r="U96" i="32" s="1"/>
  <c r="T63" i="32"/>
  <c r="U63" i="32" s="1"/>
  <c r="T317" i="32"/>
  <c r="U317" i="32" s="1"/>
  <c r="T539" i="32"/>
  <c r="U539" i="32" s="1"/>
  <c r="T196" i="32"/>
  <c r="U196" i="32" s="1"/>
  <c r="T232" i="32"/>
  <c r="T630" i="32"/>
  <c r="U630" i="32" s="1"/>
  <c r="T578" i="32"/>
  <c r="U578" i="32" s="1"/>
  <c r="T322" i="32"/>
  <c r="U322" i="32" s="1"/>
  <c r="T451" i="32"/>
  <c r="U451" i="32" s="1"/>
  <c r="T462" i="32"/>
  <c r="U462" i="32" s="1"/>
  <c r="T268" i="32"/>
  <c r="U268" i="32" s="1"/>
  <c r="T357" i="32"/>
  <c r="U357" i="32" s="1"/>
  <c r="T561" i="32"/>
  <c r="U561" i="32" s="1"/>
  <c r="T521" i="32"/>
  <c r="U521" i="32" s="1"/>
  <c r="T608" i="32"/>
  <c r="U608" i="32" s="1"/>
  <c r="T547" i="32"/>
  <c r="U547" i="32" s="1"/>
  <c r="T623" i="32"/>
  <c r="U623" i="32" s="1"/>
  <c r="T546" i="32"/>
  <c r="U546" i="32" s="1"/>
  <c r="T286" i="32"/>
  <c r="U286" i="32" s="1"/>
  <c r="T271" i="32"/>
  <c r="U271" i="32" s="1"/>
  <c r="T406" i="32"/>
  <c r="U406" i="32" s="1"/>
  <c r="T392" i="32"/>
  <c r="U392" i="32" s="1"/>
  <c r="T511" i="32"/>
  <c r="U511" i="32" s="1"/>
  <c r="T495" i="32"/>
  <c r="U495" i="32" s="1"/>
  <c r="T383" i="32"/>
  <c r="U383" i="32" s="1"/>
  <c r="T247" i="32"/>
  <c r="U247" i="32" s="1"/>
  <c r="T318" i="32"/>
  <c r="U318" i="32" s="1"/>
  <c r="T485" i="32"/>
  <c r="U485" i="32" s="1"/>
  <c r="T433" i="32"/>
  <c r="U433" i="32" s="1"/>
  <c r="T465" i="32"/>
  <c r="U465" i="32" s="1"/>
  <c r="T364" i="32"/>
  <c r="U364" i="32" s="1"/>
  <c r="T581" i="32"/>
  <c r="U581" i="32" s="1"/>
  <c r="T628" i="32"/>
  <c r="U628" i="32" s="1"/>
  <c r="T342" i="32"/>
  <c r="U342" i="32" s="1"/>
  <c r="T569" i="32"/>
  <c r="U569" i="32" s="1"/>
  <c r="T416" i="32"/>
  <c r="U416" i="32" s="1"/>
  <c r="T568" i="32"/>
  <c r="U568" i="32" s="1"/>
  <c r="T361" i="32"/>
  <c r="U361" i="32" s="1"/>
  <c r="T420" i="32"/>
  <c r="U420" i="32" s="1"/>
  <c r="T676" i="32"/>
  <c r="U676" i="32" s="1"/>
  <c r="T75" i="32"/>
  <c r="U75" i="32" s="1"/>
  <c r="T15" i="32"/>
  <c r="T145" i="32"/>
  <c r="U145" i="32" s="1"/>
  <c r="T445" i="32"/>
  <c r="U445" i="32" s="1"/>
  <c r="T59" i="32"/>
  <c r="U59" i="32" s="1"/>
  <c r="T423" i="32"/>
  <c r="U423" i="32" s="1"/>
  <c r="T170" i="32"/>
  <c r="U170" i="32" s="1"/>
  <c r="T140" i="32"/>
  <c r="U140" i="32" s="1"/>
  <c r="T43" i="32"/>
  <c r="U43" i="32" s="1"/>
  <c r="T482" i="32"/>
  <c r="U482" i="32" s="1"/>
  <c r="T292" i="32"/>
  <c r="U292" i="32" s="1"/>
  <c r="T395" i="32"/>
  <c r="U395" i="32" s="1"/>
  <c r="T430" i="32"/>
  <c r="U430" i="32" s="1"/>
  <c r="T454" i="32"/>
  <c r="U454" i="32" s="1"/>
  <c r="T593" i="32"/>
  <c r="U593" i="32" s="1"/>
  <c r="T281" i="32"/>
  <c r="U281" i="32" s="1"/>
  <c r="T312" i="32"/>
  <c r="U312" i="32" s="1"/>
  <c r="T507" i="32"/>
  <c r="U507" i="32" s="1"/>
  <c r="T599" i="32"/>
  <c r="U599" i="32" s="1"/>
  <c r="T474" i="32"/>
  <c r="U474" i="32" s="1"/>
  <c r="T475" i="32"/>
  <c r="U475" i="32" s="1"/>
  <c r="T278" i="32"/>
  <c r="U278" i="32" s="1"/>
  <c r="T257" i="32"/>
  <c r="U257" i="32" s="1"/>
  <c r="T301" i="32"/>
  <c r="U301" i="32" s="1"/>
  <c r="T637" i="32"/>
  <c r="U637" i="32" s="1"/>
  <c r="T618" i="32"/>
  <c r="U618" i="32" s="1"/>
  <c r="T463" i="32"/>
  <c r="U463" i="32" s="1"/>
  <c r="T367" i="32"/>
  <c r="U367" i="32" s="1"/>
  <c r="T466" i="32"/>
  <c r="U466" i="32" s="1"/>
  <c r="T260" i="32"/>
  <c r="U260" i="32" s="1"/>
  <c r="T274" i="32"/>
  <c r="U274" i="32" s="1"/>
  <c r="T477" i="32"/>
  <c r="U477" i="32" s="1"/>
  <c r="T269" i="32"/>
  <c r="U269" i="32" s="1"/>
  <c r="T481" i="32"/>
  <c r="U481" i="32" s="1"/>
  <c r="T380" i="32"/>
  <c r="U380" i="32" s="1"/>
  <c r="T644" i="32"/>
  <c r="U644" i="32" s="1"/>
  <c r="T252" i="32"/>
  <c r="U252" i="32" s="1"/>
  <c r="T601" i="32"/>
  <c r="U601" i="32" s="1"/>
  <c r="T432" i="32"/>
  <c r="U432" i="32" s="1"/>
  <c r="T616" i="32"/>
  <c r="U616" i="32" s="1"/>
  <c r="T377" i="32"/>
  <c r="U377" i="32" s="1"/>
  <c r="T436" i="32"/>
  <c r="U436" i="32" s="1"/>
  <c r="T663" i="32"/>
  <c r="U663" i="32" s="1"/>
  <c r="T100" i="32"/>
  <c r="U100" i="32" s="1"/>
  <c r="T592" i="32"/>
  <c r="U592" i="32" s="1"/>
  <c r="T146" i="32"/>
  <c r="U146" i="32" s="1"/>
  <c r="T58" i="32"/>
  <c r="U58" i="32" s="1"/>
  <c r="T285" i="32"/>
  <c r="U285" i="32" s="1"/>
  <c r="T655" i="32"/>
  <c r="U655" i="32" s="1"/>
  <c r="T156" i="32"/>
  <c r="U156" i="32" s="1"/>
  <c r="T360" i="32"/>
  <c r="U360" i="32" s="1"/>
  <c r="T37" i="32"/>
  <c r="U37" i="32" s="1"/>
  <c r="T450" i="32"/>
  <c r="U450" i="32" s="1"/>
  <c r="T339" i="32"/>
  <c r="U339" i="32" s="1"/>
  <c r="T398" i="32"/>
  <c r="U398" i="32" s="1"/>
  <c r="T294" i="32"/>
  <c r="U294" i="32" s="1"/>
  <c r="T273" i="32"/>
  <c r="U273" i="32" s="1"/>
  <c r="T353" i="32"/>
  <c r="U353" i="32" s="1"/>
  <c r="T376" i="32"/>
  <c r="U376" i="32" s="1"/>
  <c r="T664" i="32"/>
  <c r="U664" i="32" s="1"/>
  <c r="T638" i="32"/>
  <c r="U638" i="32" s="1"/>
  <c r="T559" i="32"/>
  <c r="U559" i="32" s="1"/>
  <c r="T410" i="32"/>
  <c r="U410" i="32" s="1"/>
  <c r="T443" i="32"/>
  <c r="U443" i="32" s="1"/>
  <c r="T246" i="32"/>
  <c r="U246" i="32" s="1"/>
  <c r="T662" i="32"/>
  <c r="U662" i="32" s="1"/>
  <c r="T381" i="32"/>
  <c r="U381" i="32" s="1"/>
  <c r="T560" i="32"/>
  <c r="U560" i="32" s="1"/>
  <c r="T538" i="32"/>
  <c r="U538" i="32" s="1"/>
  <c r="T351" i="32"/>
  <c r="U351" i="32" s="1"/>
  <c r="T434" i="32"/>
  <c r="U434" i="32" s="1"/>
  <c r="T467" i="32"/>
  <c r="U467" i="32" s="1"/>
  <c r="T502" i="32"/>
  <c r="U502" i="32" s="1"/>
  <c r="T390" i="32"/>
  <c r="U390" i="32" s="1"/>
  <c r="T585" i="32"/>
  <c r="U585" i="32" s="1"/>
  <c r="T577" i="32"/>
  <c r="U577" i="32" s="1"/>
  <c r="T412" i="32"/>
  <c r="U412" i="32" s="1"/>
  <c r="T645" i="32"/>
  <c r="U645" i="32" s="1"/>
  <c r="T672" i="32"/>
  <c r="U672" i="32" s="1"/>
  <c r="T670" i="32"/>
  <c r="U670" i="32" s="1"/>
  <c r="T464" i="32"/>
  <c r="U464" i="32" s="1"/>
  <c r="T648" i="32"/>
  <c r="U648" i="32" s="1"/>
  <c r="T425" i="32"/>
  <c r="U425" i="32" s="1"/>
  <c r="T468" i="32"/>
  <c r="U468" i="32" s="1"/>
  <c r="T656" i="32"/>
  <c r="U656" i="32" s="1"/>
  <c r="T90" i="32"/>
  <c r="U90" i="32" s="1"/>
  <c r="T191" i="32"/>
  <c r="U191" i="32" s="1"/>
  <c r="T299" i="32"/>
  <c r="U299" i="32" s="1"/>
  <c r="T469" i="32"/>
  <c r="U469" i="32" s="1"/>
  <c r="T222" i="32"/>
  <c r="U222" i="32" s="1"/>
  <c r="T123" i="32"/>
  <c r="U123" i="32" s="1"/>
  <c r="T650" i="32"/>
  <c r="U650" i="32" s="1"/>
  <c r="T159" i="32"/>
  <c r="U159" i="32" s="1"/>
  <c r="T118" i="32"/>
  <c r="U118" i="32" s="1"/>
  <c r="T65" i="32"/>
  <c r="T94" i="32"/>
  <c r="U94" i="32" s="1"/>
  <c r="T386" i="32"/>
  <c r="U386" i="32" s="1"/>
  <c r="T250" i="32"/>
  <c r="U250" i="32" s="1"/>
  <c r="T315" i="32"/>
  <c r="U315" i="32" s="1"/>
  <c r="T374" i="32"/>
  <c r="U374" i="32" s="1"/>
  <c r="T385" i="32"/>
  <c r="U385" i="32" s="1"/>
  <c r="T440" i="32"/>
  <c r="U440" i="32" s="1"/>
  <c r="T677" i="32"/>
  <c r="U677" i="32" s="1"/>
  <c r="T598" i="32"/>
  <c r="U598" i="32" s="1"/>
  <c r="T634" i="32"/>
  <c r="U634" i="32" s="1"/>
  <c r="T378" i="32"/>
  <c r="U378" i="32" s="1"/>
  <c r="T411" i="32"/>
  <c r="U411" i="32" s="1"/>
  <c r="T422" i="32"/>
  <c r="U422" i="32" s="1"/>
  <c r="T437" i="32"/>
  <c r="U437" i="32" s="1"/>
  <c r="T253" i="32"/>
  <c r="U253" i="32" s="1"/>
  <c r="T624" i="32"/>
  <c r="U624" i="32" s="1"/>
  <c r="T275" i="32"/>
  <c r="U275" i="32" s="1"/>
  <c r="T447" i="32"/>
  <c r="U447" i="32" s="1"/>
  <c r="T402" i="32"/>
  <c r="U402" i="32" s="1"/>
  <c r="T379" i="32"/>
  <c r="U379" i="32" s="1"/>
  <c r="T478" i="32"/>
  <c r="U478" i="32" s="1"/>
  <c r="T470" i="32"/>
  <c r="U470" i="32" s="1"/>
  <c r="T249" i="32"/>
  <c r="U249" i="32" s="1"/>
  <c r="T408" i="32"/>
  <c r="U408" i="32" s="1"/>
  <c r="T460" i="32"/>
  <c r="U460" i="32" s="1"/>
  <c r="T548" i="32"/>
  <c r="U548" i="32" s="1"/>
  <c r="T529" i="32"/>
  <c r="U529" i="32" s="1"/>
  <c r="T304" i="32"/>
  <c r="U304" i="32" s="1"/>
  <c r="T525" i="32"/>
  <c r="U525" i="32" s="1"/>
  <c r="T657" i="32"/>
  <c r="U657" i="32" s="1"/>
  <c r="T545" i="32"/>
  <c r="U545" i="32" s="1"/>
  <c r="T597" i="32"/>
  <c r="U597" i="32" s="1"/>
  <c r="T239" i="32"/>
  <c r="U239" i="32" s="1"/>
  <c r="T639" i="32"/>
  <c r="U639" i="32" s="1"/>
  <c r="T28" i="32"/>
  <c r="U28" i="32" s="1"/>
  <c r="T228" i="32"/>
  <c r="U228" i="32" s="1"/>
  <c r="T32" i="32"/>
  <c r="U32" i="32" s="1"/>
  <c r="T22" i="32"/>
  <c r="U22" i="32" s="1"/>
  <c r="T95" i="32"/>
  <c r="U95" i="32" s="1"/>
  <c r="T30" i="32"/>
  <c r="U30" i="32" s="1"/>
  <c r="T558" i="32"/>
  <c r="U558" i="32" s="1"/>
  <c r="T217" i="32"/>
  <c r="T204" i="32"/>
  <c r="U204" i="32" s="1"/>
  <c r="T426" i="32"/>
  <c r="U426" i="32" s="1"/>
  <c r="T192" i="32"/>
  <c r="T186" i="32"/>
  <c r="T180" i="32"/>
  <c r="U180" i="32" s="1"/>
  <c r="T174" i="32"/>
  <c r="T162" i="32"/>
  <c r="T518" i="32"/>
  <c r="U518" i="32" s="1"/>
  <c r="T144" i="32"/>
  <c r="T526" i="32"/>
  <c r="U526" i="32" s="1"/>
  <c r="T126" i="32"/>
  <c r="U126" i="32" s="1"/>
  <c r="T178" i="32"/>
  <c r="U178" i="32" s="1"/>
  <c r="T108" i="32"/>
  <c r="U132" i="32" s="1"/>
  <c r="T102" i="32"/>
  <c r="U102" i="32" s="1"/>
  <c r="T244" i="32"/>
  <c r="U244" i="32" s="1"/>
  <c r="T84" i="32"/>
  <c r="U84" i="32" s="1"/>
  <c r="T148" i="32"/>
  <c r="U148" i="32" s="1"/>
  <c r="T72" i="32"/>
  <c r="U72" i="32" s="1"/>
  <c r="T66" i="32"/>
  <c r="U66" i="32" s="1"/>
  <c r="T227" i="32"/>
  <c r="U227" i="32" s="1"/>
  <c r="T221" i="32"/>
  <c r="U221" i="32" s="1"/>
  <c r="T215" i="32"/>
  <c r="U215" i="32" s="1"/>
  <c r="T646" i="32"/>
  <c r="U646" i="32" s="1"/>
  <c r="T197" i="32"/>
  <c r="U197" i="32" s="1"/>
  <c r="T179" i="32"/>
  <c r="U179" i="32" s="1"/>
  <c r="T173" i="32"/>
  <c r="U173" i="32" s="1"/>
  <c r="T167" i="32"/>
  <c r="U167" i="32" s="1"/>
  <c r="T161" i="32"/>
  <c r="U161" i="32" s="1"/>
  <c r="T149" i="32"/>
  <c r="U149" i="32" s="1"/>
  <c r="T107" i="32"/>
  <c r="U107" i="32" s="1"/>
  <c r="T89" i="32"/>
  <c r="U89" i="32" s="1"/>
  <c r="T83" i="32"/>
  <c r="T160" i="32"/>
  <c r="U160" i="32" s="1"/>
  <c r="T71" i="32"/>
  <c r="U71" i="32" s="1"/>
  <c r="T142" i="32"/>
  <c r="U142" i="32" s="1"/>
  <c r="T35" i="32"/>
  <c r="U35" i="32" s="1"/>
  <c r="T29" i="32"/>
  <c r="U29" i="32" s="1"/>
  <c r="T17" i="32"/>
  <c r="U17" i="32" s="1"/>
  <c r="T615" i="32"/>
  <c r="U615" i="32" s="1"/>
  <c r="T235" i="32"/>
  <c r="U235" i="32" s="1"/>
  <c r="T498" i="32"/>
  <c r="U498" i="32" s="1"/>
  <c r="T60" i="32"/>
  <c r="U60" i="32" s="1"/>
  <c r="T54" i="32"/>
  <c r="U54" i="32" s="1"/>
  <c r="T42" i="32"/>
  <c r="U42" i="32" s="1"/>
  <c r="T36" i="32"/>
  <c r="U36" i="32" s="1"/>
  <c r="T24" i="32"/>
  <c r="U24" i="32" s="1"/>
  <c r="T18" i="32"/>
  <c r="U18" i="32" s="1"/>
  <c r="T143" i="32"/>
  <c r="T131" i="32"/>
  <c r="U131" i="32" s="1"/>
  <c r="T614" i="32"/>
  <c r="U614" i="32" s="1"/>
  <c r="T606" i="32"/>
  <c r="U606" i="32" s="1"/>
  <c r="T327" i="32"/>
  <c r="U327" i="32" s="1"/>
  <c r="T298" i="32"/>
  <c r="U298" i="32" s="1"/>
  <c r="T187" i="32"/>
  <c r="T311" i="32"/>
  <c r="U311" i="32" s="1"/>
  <c r="T251" i="32"/>
  <c r="U251" i="32" s="1"/>
  <c r="T133" i="32"/>
  <c r="T106" i="32"/>
  <c r="U106" i="32" s="1"/>
  <c r="T219" i="32"/>
  <c r="U219" i="32" s="1"/>
  <c r="T38" i="32"/>
  <c r="T223" i="32"/>
  <c r="U223" i="32" s="1"/>
  <c r="T87" i="32"/>
  <c r="U87" i="32" s="1"/>
  <c r="T165" i="32"/>
  <c r="U165" i="32" s="1"/>
  <c r="T117" i="32"/>
  <c r="T195" i="32"/>
  <c r="U195" i="32" s="1"/>
  <c r="T112" i="32"/>
  <c r="U112" i="32" s="1"/>
  <c r="T566" i="32"/>
  <c r="U566" i="32" s="1"/>
  <c r="T519" i="32"/>
  <c r="U519" i="32" s="1"/>
  <c r="T26" i="32"/>
  <c r="U26" i="32" s="1"/>
  <c r="T224" i="32"/>
  <c r="U224" i="32" s="1"/>
  <c r="T20" i="32"/>
  <c r="U20" i="32" s="1"/>
  <c r="T40" i="32"/>
  <c r="T98" i="32"/>
  <c r="U98" i="32" s="1"/>
  <c r="T79" i="32"/>
  <c r="U79" i="32" s="1"/>
  <c r="T163" i="32"/>
  <c r="T619" i="32"/>
  <c r="U619" i="32" s="1"/>
  <c r="T362" i="32"/>
  <c r="U362" i="32" s="1"/>
  <c r="T325" i="32"/>
  <c r="U325" i="32" s="1"/>
  <c r="T99" i="32"/>
  <c r="U99" i="32" s="1"/>
  <c r="T229" i="32"/>
  <c r="T13" i="32"/>
  <c r="U13" i="32" s="1"/>
  <c r="T62" i="32"/>
  <c r="U62" i="32" s="1"/>
  <c r="T147" i="32"/>
  <c r="U147" i="32" s="1"/>
  <c r="T582" i="32"/>
  <c r="U582" i="32" s="1"/>
  <c r="T33" i="32"/>
  <c r="U33" i="32" s="1"/>
  <c r="T208" i="32"/>
  <c r="U208" i="32" s="1"/>
  <c r="T70" i="32"/>
  <c r="U70" i="32" s="1"/>
  <c r="T93" i="32"/>
  <c r="U93" i="32" s="1"/>
  <c r="T164" i="32"/>
  <c r="U164" i="32" s="1"/>
  <c r="T567" i="32"/>
  <c r="U567" i="32" s="1"/>
  <c r="T527" i="32"/>
  <c r="U527" i="32" s="1"/>
  <c r="T503" i="32"/>
  <c r="U503" i="32" s="1"/>
  <c r="T115" i="32"/>
  <c r="T124" i="32"/>
  <c r="U124" i="32" s="1"/>
  <c r="T570" i="32"/>
  <c r="U570" i="32" s="1"/>
  <c r="T424" i="32"/>
  <c r="U424" i="32" s="1"/>
  <c r="T554" i="32"/>
  <c r="U554" i="32" s="1"/>
  <c r="T181" i="32"/>
  <c r="T74" i="32"/>
  <c r="U74" i="32" s="1"/>
  <c r="T206" i="32"/>
  <c r="U206" i="32" s="1"/>
  <c r="T622" i="32"/>
  <c r="U622" i="32" s="1"/>
  <c r="T176" i="32"/>
  <c r="U176" i="32" s="1"/>
  <c r="T225" i="32"/>
  <c r="U225" i="32" s="1"/>
  <c r="T594" i="32"/>
  <c r="U594" i="32" s="1"/>
  <c r="T213" i="32"/>
  <c r="U213" i="32" s="1"/>
  <c r="T194" i="32"/>
  <c r="T231" i="32"/>
  <c r="U231" i="32" s="1"/>
  <c r="T85" i="32"/>
  <c r="U85" i="32" s="1"/>
  <c r="T116" i="32"/>
  <c r="U116" i="32" s="1"/>
  <c r="T590" i="32"/>
  <c r="U590" i="32" s="1"/>
  <c r="T80" i="32"/>
  <c r="U80" i="32" s="1"/>
  <c r="T455" i="32"/>
  <c r="U455" i="32" s="1"/>
  <c r="T31" i="32"/>
  <c r="U31" i="32" s="1"/>
  <c r="T188" i="32"/>
  <c r="U188" i="32" s="1"/>
  <c r="T439" i="32"/>
  <c r="U439" i="32" s="1"/>
  <c r="T673" i="32"/>
  <c r="U673" i="32" s="1"/>
  <c r="T573" i="32"/>
  <c r="U573" i="32" s="1"/>
  <c r="T522" i="32"/>
  <c r="U522" i="32" s="1"/>
  <c r="T458" i="32"/>
  <c r="U458" i="32" s="1"/>
  <c r="T654" i="32"/>
  <c r="U654" i="32" s="1"/>
  <c r="T67" i="32"/>
  <c r="U67" i="32" s="1"/>
  <c r="T678" i="32"/>
  <c r="U678" i="32" s="1"/>
  <c r="T604" i="32"/>
  <c r="U604" i="32" s="1"/>
  <c r="T509" i="32"/>
  <c r="U509" i="32" s="1"/>
  <c r="T504" i="32"/>
  <c r="U504" i="32" s="1"/>
  <c r="T404" i="32"/>
  <c r="U404" i="32" s="1"/>
  <c r="T308" i="32"/>
  <c r="U308" i="32" s="1"/>
  <c r="T489" i="32"/>
  <c r="U489" i="32" s="1"/>
  <c r="T393" i="32"/>
  <c r="U393" i="32" s="1"/>
  <c r="T297" i="32"/>
  <c r="U297" i="32" s="1"/>
  <c r="T675" i="32"/>
  <c r="U675" i="32" s="1"/>
  <c r="T600" i="32"/>
  <c r="U600" i="32" s="1"/>
  <c r="T653" i="32"/>
  <c r="U653" i="32" s="1"/>
  <c r="T496" i="32"/>
  <c r="U496" i="32" s="1"/>
  <c r="T400" i="32"/>
  <c r="U400" i="32" s="1"/>
  <c r="T5" i="32"/>
  <c r="U5" i="32" s="1"/>
  <c r="T81" i="32"/>
  <c r="U81" i="32" s="1"/>
  <c r="T189" i="32"/>
  <c r="U189" i="32" s="1"/>
  <c r="T177" i="32"/>
  <c r="U177" i="32" s="1"/>
  <c r="T97" i="32"/>
  <c r="U97" i="32" s="1"/>
  <c r="T52" i="32"/>
  <c r="U52" i="32" s="1"/>
  <c r="T607" i="32"/>
  <c r="U607" i="32" s="1"/>
  <c r="T236" i="32"/>
  <c r="U236" i="32" s="1"/>
  <c r="T135" i="32"/>
  <c r="U135" i="32" s="1"/>
  <c r="T171" i="32"/>
  <c r="U171" i="32" s="1"/>
  <c r="T543" i="32"/>
  <c r="U543" i="32" s="1"/>
  <c r="T76" i="32"/>
  <c r="U76" i="32" s="1"/>
  <c r="T212" i="32"/>
  <c r="U212" i="32" s="1"/>
  <c r="T238" i="32"/>
  <c r="U238" i="32" s="1"/>
  <c r="T27" i="32"/>
  <c r="U27" i="32" s="1"/>
  <c r="T220" i="32"/>
  <c r="U220" i="32" s="1"/>
  <c r="T157" i="32"/>
  <c r="U157" i="32" s="1"/>
  <c r="T110" i="32"/>
  <c r="U110" i="32" s="1"/>
  <c r="T44" i="32"/>
  <c r="U44" i="32" s="1"/>
  <c r="T151" i="32"/>
  <c r="U151" i="32" s="1"/>
  <c r="T202" i="32"/>
  <c r="U202" i="32" s="1"/>
  <c r="T427" i="32"/>
  <c r="U427" i="32" s="1"/>
  <c r="T130" i="32"/>
  <c r="U130" i="32" s="1"/>
  <c r="T262" i="32"/>
  <c r="U262" i="32" s="1"/>
  <c r="T111" i="32"/>
  <c r="U111" i="32" s="1"/>
  <c r="T372" i="32"/>
  <c r="U372" i="32" s="1"/>
  <c r="T484" i="32"/>
  <c r="U484" i="32" s="1"/>
  <c r="T524" i="32"/>
  <c r="U524" i="32" s="1"/>
  <c r="T636" i="32"/>
  <c r="U636" i="32" s="1"/>
  <c r="T631" i="32"/>
  <c r="U631" i="32" s="1"/>
  <c r="T214" i="32"/>
  <c r="U214" i="32" s="1"/>
  <c r="T407" i="32"/>
  <c r="U407" i="32" s="1"/>
  <c r="T226" i="32"/>
  <c r="U226" i="32" s="1"/>
  <c r="T365" i="32"/>
  <c r="U365" i="32" s="1"/>
  <c r="T241" i="32"/>
  <c r="U241" i="32" s="1"/>
  <c r="T205" i="32"/>
  <c r="T172" i="32"/>
  <c r="U172" i="32" s="1"/>
  <c r="T438" i="32"/>
  <c r="U438" i="32" s="1"/>
  <c r="T218" i="32"/>
  <c r="T421" i="32"/>
  <c r="U421" i="32" s="1"/>
  <c r="T343" i="32"/>
  <c r="U343" i="32" s="1"/>
  <c r="T589" i="32"/>
  <c r="U589" i="32" s="1"/>
  <c r="T584" i="32"/>
  <c r="U584" i="32" s="1"/>
  <c r="T658" i="32"/>
  <c r="U658" i="32" s="1"/>
  <c r="T329" i="32"/>
  <c r="U329" i="32" s="1"/>
  <c r="T441" i="32"/>
  <c r="U441" i="32" s="1"/>
  <c r="T256" i="32"/>
  <c r="U256" i="32" s="1"/>
  <c r="T388" i="32"/>
  <c r="U388" i="32" s="1"/>
  <c r="T506" i="32"/>
  <c r="U506" i="32" s="1"/>
  <c r="T540" i="32"/>
  <c r="U540" i="32" s="1"/>
  <c r="T652" i="32"/>
  <c r="U652" i="32" s="1"/>
  <c r="T302" i="32"/>
  <c r="U302" i="32" s="1"/>
  <c r="T647" i="32"/>
  <c r="U647" i="32" s="1"/>
  <c r="T555" i="32"/>
  <c r="U555" i="32" s="1"/>
  <c r="T542" i="32"/>
  <c r="U542" i="32" s="1"/>
  <c r="T488" i="32"/>
  <c r="U488" i="32" s="1"/>
  <c r="T91" i="32"/>
  <c r="U91" i="32" s="1"/>
  <c r="T56" i="32"/>
  <c r="U56" i="32" s="1"/>
  <c r="T201" i="32"/>
  <c r="U201" i="32" s="1"/>
  <c r="T276" i="32"/>
  <c r="U276" i="32" s="1"/>
  <c r="T128" i="32"/>
  <c r="U128" i="32" s="1"/>
  <c r="T104" i="32"/>
  <c r="U104" i="32" s="1"/>
  <c r="T531" i="32"/>
  <c r="U531" i="32" s="1"/>
  <c r="T643" i="32"/>
  <c r="U643" i="32" s="1"/>
  <c r="T595" i="32"/>
  <c r="U595" i="32" s="1"/>
  <c r="T583" i="32"/>
  <c r="U583" i="32" s="1"/>
  <c r="T169" i="32"/>
  <c r="U169" i="32" s="1"/>
  <c r="T121" i="32"/>
  <c r="U121" i="32" s="1"/>
  <c r="T25" i="32"/>
  <c r="U25" i="32" s="1"/>
  <c r="U4" i="32"/>
  <c r="T153" i="32"/>
  <c r="U153" i="32" s="1"/>
  <c r="T216" i="32"/>
  <c r="U216" i="32" s="1"/>
  <c r="T41" i="32"/>
  <c r="U41" i="32" s="1"/>
  <c r="T563" i="32"/>
  <c r="U563" i="32" s="1"/>
  <c r="T651" i="32"/>
  <c r="U651" i="32" s="1"/>
  <c r="T203" i="32"/>
  <c r="U203" i="32" s="1"/>
  <c r="T113" i="32"/>
  <c r="U113" i="32" s="1"/>
  <c r="T209" i="32"/>
  <c r="U209" i="32" s="1"/>
  <c r="T150" i="32"/>
  <c r="T68" i="32"/>
  <c r="U68" i="32" s="1"/>
  <c r="T591" i="32"/>
  <c r="U591" i="32" s="1"/>
  <c r="T243" i="32"/>
  <c r="U243" i="32" s="1"/>
  <c r="T579" i="32"/>
  <c r="U579" i="32" s="1"/>
  <c r="T6" i="32"/>
  <c r="U14" i="32" s="1"/>
  <c r="T88" i="32"/>
  <c r="T168" i="32"/>
  <c r="U168" i="32" s="1"/>
  <c r="T242" i="32"/>
  <c r="U242" i="32" s="1"/>
  <c r="T34" i="32"/>
  <c r="U34" i="32" s="1"/>
  <c r="T57" i="32"/>
  <c r="U57" i="32" s="1"/>
  <c r="T185" i="32"/>
  <c r="T323" i="32"/>
  <c r="U323" i="32" s="1"/>
  <c r="T371" i="32"/>
  <c r="U371" i="32" s="1"/>
  <c r="T627" i="32"/>
  <c r="U627" i="32" s="1"/>
  <c r="T7" i="32"/>
  <c r="U7" i="32" s="1"/>
  <c r="T184" i="32"/>
  <c r="U184" i="32" s="1"/>
  <c r="T610" i="32"/>
  <c r="U610" i="32" s="1"/>
  <c r="T105" i="32"/>
  <c r="T515" i="32"/>
  <c r="U515" i="32" s="1"/>
  <c r="O679" i="32"/>
  <c r="R679" i="32"/>
  <c r="AJ3" i="23"/>
  <c r="Q3" i="46" s="1"/>
  <c r="J1" i="46" s="1"/>
  <c r="V4" i="27"/>
  <c r="AO1" i="45"/>
  <c r="G1" i="45" s="1"/>
  <c r="H39" i="44"/>
  <c r="P134" i="44" s="1"/>
  <c r="AI94" i="23"/>
  <c r="AI93" i="23"/>
  <c r="S9" i="37"/>
  <c r="AU107" i="46"/>
  <c r="BC107" i="46" s="1"/>
  <c r="AU63" i="46"/>
  <c r="AW63" i="46" s="1"/>
  <c r="BG49" i="46"/>
  <c r="AA38" i="46"/>
  <c r="AU81" i="46"/>
  <c r="BC81" i="46" s="1"/>
  <c r="AU97" i="46"/>
  <c r="AS97" i="46" s="1"/>
  <c r="AU78" i="46"/>
  <c r="BG78" i="46" s="1"/>
  <c r="AU36" i="46"/>
  <c r="BA36" i="46" s="1"/>
  <c r="AU87" i="46"/>
  <c r="AS87" i="46" s="1"/>
  <c r="AU44" i="46"/>
  <c r="AS44" i="46" s="1"/>
  <c r="AU43" i="46"/>
  <c r="AY43" i="46" s="1"/>
  <c r="AU41" i="46"/>
  <c r="BI41" i="46" s="1"/>
  <c r="AU73" i="46"/>
  <c r="BI73" i="46" s="1"/>
  <c r="AW65" i="46"/>
  <c r="BG89" i="46"/>
  <c r="R64" i="46"/>
  <c r="Q64" i="46" s="1"/>
  <c r="BA90" i="46"/>
  <c r="Z39" i="46"/>
  <c r="AW48" i="46"/>
  <c r="BA58" i="46"/>
  <c r="BG48" i="46"/>
  <c r="BE67" i="46"/>
  <c r="BA67" i="46"/>
  <c r="AY67" i="46"/>
  <c r="BG85" i="46"/>
  <c r="G146" i="46"/>
  <c r="I146" i="46" s="1"/>
  <c r="AU105" i="46"/>
  <c r="BG105" i="46" s="1"/>
  <c r="AU101" i="46"/>
  <c r="AS101" i="46" s="1"/>
  <c r="R195" i="23"/>
  <c r="AF281" i="23"/>
  <c r="AW95" i="46"/>
  <c r="M87" i="46"/>
  <c r="AG87" i="46" s="1"/>
  <c r="AU62" i="46"/>
  <c r="AS62" i="46" s="1"/>
  <c r="R35" i="46"/>
  <c r="F35" i="46" s="1"/>
  <c r="D157" i="46" s="1"/>
  <c r="R22" i="40"/>
  <c r="F26" i="40" s="1"/>
  <c r="AU104" i="46"/>
  <c r="BC104" i="46" s="1"/>
  <c r="J201" i="23"/>
  <c r="BG95" i="46"/>
  <c r="AY103" i="46"/>
  <c r="AA162" i="23"/>
  <c r="H207" i="23"/>
  <c r="AK275" i="23"/>
  <c r="AL275" i="23" s="1"/>
  <c r="AM275" i="23" s="1"/>
  <c r="AN275" i="23" s="1"/>
  <c r="AO275" i="23" s="1"/>
  <c r="AP275" i="23" s="1"/>
  <c r="AQ275" i="23" s="1"/>
  <c r="AR275" i="23" s="1"/>
  <c r="AS275" i="23" s="1"/>
  <c r="AU275" i="23" s="1"/>
  <c r="AV275" i="23" s="1"/>
  <c r="BG70" i="46"/>
  <c r="J119" i="23"/>
  <c r="AA114" i="23" s="1"/>
  <c r="AI114" i="23" s="1"/>
  <c r="J104" i="23" s="1"/>
  <c r="AJ24" i="23" s="1"/>
  <c r="BG40" i="46"/>
  <c r="AY48" i="46"/>
  <c r="BG61" i="46"/>
  <c r="AA60" i="23"/>
  <c r="AI60" i="23" s="1"/>
  <c r="BA48" i="46"/>
  <c r="BA49" i="46"/>
  <c r="BI40" i="46"/>
  <c r="R26" i="46"/>
  <c r="L140" i="46" s="1"/>
  <c r="M140" i="46" s="1"/>
  <c r="BC70" i="46"/>
  <c r="BA70" i="46"/>
  <c r="AW70" i="46"/>
  <c r="AU17" i="46"/>
  <c r="AS17" i="46" s="1"/>
  <c r="BG90" i="46"/>
  <c r="BC49" i="46"/>
  <c r="AW49" i="46"/>
  <c r="M120" i="46"/>
  <c r="AG120" i="46" s="1"/>
  <c r="AU82" i="46"/>
  <c r="BI82" i="46" s="1"/>
  <c r="AU46" i="46"/>
  <c r="BG46" i="46" s="1"/>
  <c r="AW67" i="46"/>
  <c r="AY49" i="46"/>
  <c r="AU34" i="46"/>
  <c r="AS34" i="46" s="1"/>
  <c r="BI90" i="46"/>
  <c r="BG58" i="46"/>
  <c r="AU47" i="46"/>
  <c r="AS47" i="46" s="1"/>
  <c r="AU52" i="46"/>
  <c r="BE52" i="46" s="1"/>
  <c r="AU111" i="46"/>
  <c r="BG111" i="46" s="1"/>
  <c r="BE90" i="46"/>
  <c r="AW90" i="46"/>
  <c r="M99" i="46"/>
  <c r="AG99" i="46" s="1"/>
  <c r="M112" i="46"/>
  <c r="AG112" i="46" s="1"/>
  <c r="AU99" i="46"/>
  <c r="B8" i="46"/>
  <c r="BA8" i="46"/>
  <c r="AW8" i="46"/>
  <c r="AY65" i="46"/>
  <c r="BI89" i="46"/>
  <c r="AW50" i="46"/>
  <c r="BA61" i="46"/>
  <c r="BA35" i="46"/>
  <c r="BE35" i="46"/>
  <c r="AW103" i="46"/>
  <c r="L156" i="46"/>
  <c r="AI22" i="23"/>
  <c r="AI30" i="23"/>
  <c r="R34" i="46"/>
  <c r="Q34" i="46" s="1"/>
  <c r="N34" i="46" s="1"/>
  <c r="AU66" i="46"/>
  <c r="AY66" i="46" s="1"/>
  <c r="AA301" i="23"/>
  <c r="AI301" i="23" s="1"/>
  <c r="N195" i="23"/>
  <c r="T201" i="23"/>
  <c r="N201" i="23"/>
  <c r="B20" i="23"/>
  <c r="AY89" i="46"/>
  <c r="BA50" i="46"/>
  <c r="BA95" i="46"/>
  <c r="BI50" i="46"/>
  <c r="BE95" i="46"/>
  <c r="R32" i="46"/>
  <c r="Q32" i="46" s="1"/>
  <c r="N32" i="46" s="1"/>
  <c r="AW102" i="46"/>
  <c r="L101" i="46"/>
  <c r="AU94" i="46"/>
  <c r="BC94" i="46" s="1"/>
  <c r="AU91" i="46"/>
  <c r="BE91" i="46" s="1"/>
  <c r="P195" i="23"/>
  <c r="AI26" i="23"/>
  <c r="Q57" i="46"/>
  <c r="AW35" i="46"/>
  <c r="BG50" i="46"/>
  <c r="Q65" i="46"/>
  <c r="BE70" i="46"/>
  <c r="BI70" i="46"/>
  <c r="BI102" i="46"/>
  <c r="BE61" i="46"/>
  <c r="BG57" i="46"/>
  <c r="BG102" i="46"/>
  <c r="BA102" i="46"/>
  <c r="BC102" i="46"/>
  <c r="AI38" i="23"/>
  <c r="B38" i="23" s="1"/>
  <c r="AI33" i="23"/>
  <c r="AI24" i="23"/>
  <c r="AU100" i="46"/>
  <c r="H198" i="23"/>
  <c r="Z195" i="23"/>
  <c r="Z198" i="23"/>
  <c r="Q68" i="46"/>
  <c r="N68" i="46" s="1"/>
  <c r="Q43" i="46"/>
  <c r="W44" i="46" s="1"/>
  <c r="BC35" i="46"/>
  <c r="BC50" i="46"/>
  <c r="BC103" i="46"/>
  <c r="BE102" i="46"/>
  <c r="BI103" i="46"/>
  <c r="AI29" i="23"/>
  <c r="AU38" i="46"/>
  <c r="BA38" i="46" s="1"/>
  <c r="W62" i="46"/>
  <c r="D62" i="46" s="1"/>
  <c r="X201" i="23"/>
  <c r="F67" i="40"/>
  <c r="L67" i="40"/>
  <c r="B67" i="40"/>
  <c r="B66" i="40"/>
  <c r="G67" i="40"/>
  <c r="AU75" i="46"/>
  <c r="AU92" i="46"/>
  <c r="AA67" i="46"/>
  <c r="BI85" i="46"/>
  <c r="BI57" i="46"/>
  <c r="AW80" i="46"/>
  <c r="BE80" i="46"/>
  <c r="AU32" i="46"/>
  <c r="BE32" i="46" s="1"/>
  <c r="R41" i="46"/>
  <c r="S41" i="46" s="1"/>
  <c r="O41" i="46" s="1"/>
  <c r="AE64" i="23" s="1"/>
  <c r="BL10" i="46"/>
  <c r="BE89" i="46"/>
  <c r="BA80" i="46"/>
  <c r="BC80" i="46"/>
  <c r="BC48" i="46"/>
  <c r="BC57" i="46"/>
  <c r="AU74" i="46"/>
  <c r="BA74" i="46" s="1"/>
  <c r="AU51" i="46"/>
  <c r="AU96" i="46"/>
  <c r="L154" i="46"/>
  <c r="BA57" i="46"/>
  <c r="M79" i="46"/>
  <c r="AG79" i="46" s="1"/>
  <c r="AY80" i="46"/>
  <c r="AY57" i="46"/>
  <c r="BG80" i="46"/>
  <c r="AY106" i="46"/>
  <c r="AU33" i="46"/>
  <c r="O62" i="46"/>
  <c r="AD225" i="23" s="1"/>
  <c r="BI80" i="46"/>
  <c r="BC79" i="46"/>
  <c r="AW57" i="46"/>
  <c r="BI48" i="46"/>
  <c r="BC89" i="46"/>
  <c r="BA89" i="46"/>
  <c r="BC106" i="46"/>
  <c r="AW89" i="46"/>
  <c r="AU42" i="46"/>
  <c r="BG42" i="46" s="1"/>
  <c r="AU109" i="46"/>
  <c r="L82" i="46"/>
  <c r="AJ79" i="46"/>
  <c r="M100" i="46"/>
  <c r="AG100" i="46" s="1"/>
  <c r="AJ100" i="46"/>
  <c r="AU18" i="46"/>
  <c r="AS18" i="46" s="1"/>
  <c r="B3" i="46"/>
  <c r="AY13" i="46"/>
  <c r="BG12" i="46"/>
  <c r="BC12" i="46"/>
  <c r="BI12" i="46"/>
  <c r="AY12" i="46"/>
  <c r="BA13" i="46"/>
  <c r="AC9" i="37"/>
  <c r="AI63" i="46"/>
  <c r="L63" i="46" s="1"/>
  <c r="N62" i="46"/>
  <c r="AU28" i="46"/>
  <c r="BG28" i="46" s="1"/>
  <c r="AJ83" i="46"/>
  <c r="L83" i="46"/>
  <c r="M83" i="46"/>
  <c r="AG83" i="46" s="1"/>
  <c r="BE12" i="46"/>
  <c r="BI13" i="46"/>
  <c r="AW13" i="46"/>
  <c r="AU26" i="46"/>
  <c r="BG26" i="46" s="1"/>
  <c r="AU23" i="46"/>
  <c r="BE23" i="46" s="1"/>
  <c r="AJ109" i="46"/>
  <c r="BI79" i="46"/>
  <c r="BE79" i="46"/>
  <c r="BG35" i="46"/>
  <c r="AY58" i="46"/>
  <c r="AY35" i="46"/>
  <c r="BI35" i="46"/>
  <c r="BC58" i="46"/>
  <c r="AW79" i="46"/>
  <c r="AW85" i="46"/>
  <c r="BC85" i="46"/>
  <c r="BA79" i="46"/>
  <c r="BA85" i="46"/>
  <c r="BG79" i="46"/>
  <c r="AY85" i="46"/>
  <c r="L109" i="46"/>
  <c r="AJ14" i="23"/>
  <c r="P31" i="44"/>
  <c r="BA12" i="46"/>
  <c r="AS12" i="46"/>
  <c r="AW12" i="46"/>
  <c r="BL7" i="46"/>
  <c r="BC8" i="46"/>
  <c r="BE8" i="46"/>
  <c r="AS8" i="46"/>
  <c r="BI8" i="46"/>
  <c r="AU19" i="46"/>
  <c r="BA19" i="46" s="1"/>
  <c r="AU11" i="46"/>
  <c r="BG11" i="46" s="1"/>
  <c r="AU22" i="46"/>
  <c r="AW22" i="46" s="1"/>
  <c r="BL9" i="46"/>
  <c r="AU24" i="46"/>
  <c r="AW24" i="46" s="1"/>
  <c r="AY8" i="46"/>
  <c r="AU16" i="46"/>
  <c r="AU25" i="46"/>
  <c r="AW25" i="46" s="1"/>
  <c r="AU71" i="46"/>
  <c r="BE13" i="46"/>
  <c r="BI61" i="46"/>
  <c r="BC30" i="46"/>
  <c r="AS30" i="46"/>
  <c r="AW30" i="46"/>
  <c r="BE30" i="46"/>
  <c r="BI30" i="46"/>
  <c r="BG30" i="46"/>
  <c r="BA30" i="46"/>
  <c r="AU86" i="46"/>
  <c r="AY86" i="46" s="1"/>
  <c r="AU76" i="46"/>
  <c r="AU93" i="46"/>
  <c r="BC93" i="46" s="1"/>
  <c r="AU88" i="46"/>
  <c r="AU37" i="46"/>
  <c r="L85" i="46"/>
  <c r="AS95" i="46"/>
  <c r="BI95" i="46"/>
  <c r="BC95" i="46"/>
  <c r="AU39" i="46"/>
  <c r="AS13" i="46"/>
  <c r="AU20" i="46"/>
  <c r="AW20" i="46" s="1"/>
  <c r="AS84" i="46"/>
  <c r="BI84" i="46"/>
  <c r="BC84" i="46"/>
  <c r="BA84" i="46"/>
  <c r="AW84" i="46"/>
  <c r="AS40" i="46"/>
  <c r="AW40" i="46"/>
  <c r="AY40" i="46"/>
  <c r="BC40" i="46"/>
  <c r="AS61" i="46"/>
  <c r="BC61" i="46"/>
  <c r="AF279" i="23"/>
  <c r="AF269" i="23"/>
  <c r="AU110" i="46"/>
  <c r="BE110" i="46" s="1"/>
  <c r="AS106" i="46"/>
  <c r="BA106" i="46"/>
  <c r="BI106" i="46"/>
  <c r="BE106" i="46"/>
  <c r="BG106" i="46"/>
  <c r="J1" i="45"/>
  <c r="AI93" i="46"/>
  <c r="M93" i="46" s="1"/>
  <c r="AG93" i="46" s="1"/>
  <c r="AI115" i="46"/>
  <c r="M115" i="46" s="1"/>
  <c r="AG115" i="46" s="1"/>
  <c r="BG84" i="46"/>
  <c r="AU72" i="46"/>
  <c r="AF231" i="23"/>
  <c r="AF228" i="23"/>
  <c r="AF238" i="23"/>
  <c r="AF240" i="23"/>
  <c r="AU64" i="46"/>
  <c r="AS58" i="46"/>
  <c r="AS90" i="46"/>
  <c r="AU31" i="46"/>
  <c r="S141" i="44"/>
  <c r="G11" i="44" s="1"/>
  <c r="AU69" i="46"/>
  <c r="Y146" i="44"/>
  <c r="F16" i="44" s="1"/>
  <c r="Y143" i="44"/>
  <c r="F13" i="44" s="1"/>
  <c r="Y144" i="44"/>
  <c r="F14" i="44" s="1"/>
  <c r="Y141" i="44"/>
  <c r="F11" i="44" s="1"/>
  <c r="Y142" i="44"/>
  <c r="F12" i="44" s="1"/>
  <c r="M26" i="46"/>
  <c r="T146" i="44"/>
  <c r="H16" i="44" s="1"/>
  <c r="I16" i="44" s="1"/>
  <c r="AU83" i="46"/>
  <c r="AU68" i="46"/>
  <c r="Y145" i="44"/>
  <c r="F15" i="44" s="1"/>
  <c r="S143" i="44"/>
  <c r="G13" i="44" s="1"/>
  <c r="T141" i="44"/>
  <c r="H11" i="44" s="1"/>
  <c r="I11" i="44" s="1"/>
  <c r="S144" i="44"/>
  <c r="G14" i="44" s="1"/>
  <c r="AU21" i="46"/>
  <c r="Q45" i="44"/>
  <c r="T143" i="44"/>
  <c r="H13" i="44" s="1"/>
  <c r="I13" i="44" s="1"/>
  <c r="S146" i="44"/>
  <c r="G16" i="44" s="1"/>
  <c r="AU14" i="46"/>
  <c r="T145" i="44"/>
  <c r="H15" i="44" s="1"/>
  <c r="I15" i="44" s="1"/>
  <c r="T142" i="44"/>
  <c r="H12" i="44" s="1"/>
  <c r="I12" i="44" s="1"/>
  <c r="BC13" i="46"/>
  <c r="S142" i="44"/>
  <c r="G12" i="44" s="1"/>
  <c r="S145" i="44"/>
  <c r="G15" i="44" s="1"/>
  <c r="T144" i="44"/>
  <c r="H14" i="44" s="1"/>
  <c r="I14" i="44" s="1"/>
  <c r="AU27" i="46"/>
  <c r="AU15" i="46"/>
  <c r="AU9" i="46"/>
  <c r="V5" i="35"/>
  <c r="V6" i="35" s="1"/>
  <c r="BE107" i="46"/>
  <c r="AS52" i="46"/>
  <c r="AU10" i="46"/>
  <c r="AK5" i="35"/>
  <c r="AK6" i="35" s="1"/>
  <c r="M8" i="35"/>
  <c r="K5" i="35"/>
  <c r="K6" i="35" s="1"/>
  <c r="AC8" i="35"/>
  <c r="T8" i="35"/>
  <c r="R8" i="35"/>
  <c r="AG5" i="35"/>
  <c r="V8" i="35"/>
  <c r="AA5" i="35"/>
  <c r="AA6" i="35" s="1"/>
  <c r="AK8" i="35"/>
  <c r="X5" i="35"/>
  <c r="X8" i="35"/>
  <c r="W5" i="35"/>
  <c r="W6" i="35" s="1"/>
  <c r="AF8" i="35"/>
  <c r="AI5" i="35"/>
  <c r="AI6" i="35" s="1"/>
  <c r="L5" i="35"/>
  <c r="AE5" i="35"/>
  <c r="AB8" i="35"/>
  <c r="AE8" i="35"/>
  <c r="Y5" i="35"/>
  <c r="C3" i="35"/>
  <c r="C13" i="35" s="1"/>
  <c r="AM7" i="35"/>
  <c r="O8" i="35"/>
  <c r="AI8" i="35"/>
  <c r="K8" i="35"/>
  <c r="U5" i="35"/>
  <c r="U6" i="35" s="1"/>
  <c r="W8" i="35"/>
  <c r="K12" i="35"/>
  <c r="T5" i="35"/>
  <c r="T6" i="35" s="1"/>
  <c r="AH5" i="35"/>
  <c r="AH6" i="35" s="1"/>
  <c r="M12" i="35"/>
  <c r="AB5" i="35"/>
  <c r="AB6" i="35" s="1"/>
  <c r="AJ8" i="35"/>
  <c r="AL8" i="35"/>
  <c r="AJ5" i="35"/>
  <c r="AJ6" i="35" s="1"/>
  <c r="Z8" i="35"/>
  <c r="O5" i="35"/>
  <c r="O6" i="35" s="1"/>
  <c r="S5" i="35"/>
  <c r="Q8" i="35"/>
  <c r="S8" i="35"/>
  <c r="AD5" i="35"/>
  <c r="AD6" i="35" s="1"/>
  <c r="AD8" i="35"/>
  <c r="N8" i="35"/>
  <c r="P8" i="35"/>
  <c r="AA8" i="35"/>
  <c r="AL5" i="35"/>
  <c r="U8" i="35"/>
  <c r="Z5" i="35"/>
  <c r="AC5" i="35"/>
  <c r="AC6" i="35" s="1"/>
  <c r="L8" i="35"/>
  <c r="AH8" i="35"/>
  <c r="AF5" i="35"/>
  <c r="AG8" i="35"/>
  <c r="N5" i="35"/>
  <c r="N6" i="35" s="1"/>
  <c r="Q5" i="35"/>
  <c r="P5" i="35"/>
  <c r="P6" i="35" s="1"/>
  <c r="R5" i="35"/>
  <c r="P53" i="44"/>
  <c r="P103" i="44"/>
  <c r="P110" i="44"/>
  <c r="P112" i="44"/>
  <c r="AS108" i="46"/>
  <c r="BE108" i="46"/>
  <c r="BG108" i="46"/>
  <c r="BC108" i="46"/>
  <c r="AW108" i="46"/>
  <c r="AY108" i="46"/>
  <c r="BA108" i="46"/>
  <c r="AU29" i="46"/>
  <c r="P74" i="44"/>
  <c r="AJ102" i="46"/>
  <c r="M102" i="46"/>
  <c r="AG102" i="46" s="1"/>
  <c r="AJ110" i="46"/>
  <c r="L110" i="46"/>
  <c r="M110" i="46"/>
  <c r="AJ97" i="46"/>
  <c r="M97" i="46"/>
  <c r="AG97" i="46" s="1"/>
  <c r="BA86" i="46"/>
  <c r="AU60" i="46"/>
  <c r="BA41" i="46"/>
  <c r="AU77" i="46"/>
  <c r="AU45" i="46"/>
  <c r="AU59" i="46"/>
  <c r="AU98" i="46"/>
  <c r="BE49" i="46"/>
  <c r="BI49" i="46"/>
  <c r="BI78" i="46"/>
  <c r="AY78" i="46"/>
  <c r="V204" i="23"/>
  <c r="R201" i="23"/>
  <c r="AB195" i="23"/>
  <c r="J195" i="23"/>
  <c r="AI194" i="23"/>
  <c r="AU205" i="23" s="1"/>
  <c r="AU206" i="23" s="1"/>
  <c r="X195" i="23"/>
  <c r="L195" i="23"/>
  <c r="V195" i="23"/>
  <c r="BI81" i="46"/>
  <c r="AY81" i="46"/>
  <c r="BI58" i="46"/>
  <c r="R204" i="23"/>
  <c r="Z201" i="23"/>
  <c r="R207" i="23"/>
  <c r="V207" i="23"/>
  <c r="AB207" i="23"/>
  <c r="Z207" i="23"/>
  <c r="J207" i="23"/>
  <c r="P201" i="23"/>
  <c r="AB201" i="23"/>
  <c r="V201" i="23"/>
  <c r="L201" i="23"/>
  <c r="H201" i="23"/>
  <c r="R198" i="23"/>
  <c r="X198" i="23"/>
  <c r="M86" i="46"/>
  <c r="AG86" i="46" s="1"/>
  <c r="AI77" i="46"/>
  <c r="M77" i="46" s="1"/>
  <c r="L104" i="46"/>
  <c r="AJ95" i="46"/>
  <c r="M84" i="46"/>
  <c r="AG84" i="46" s="1"/>
  <c r="AJ84" i="46"/>
  <c r="L84" i="46"/>
  <c r="L122" i="46"/>
  <c r="AJ122" i="46"/>
  <c r="AJ91" i="46"/>
  <c r="L91" i="46"/>
  <c r="M91" i="46"/>
  <c r="AG91" i="46" s="1"/>
  <c r="L96" i="46"/>
  <c r="AJ96" i="46"/>
  <c r="AI81" i="46"/>
  <c r="M81" i="46" s="1"/>
  <c r="AG81" i="46" s="1"/>
  <c r="AJ106" i="46"/>
  <c r="L106" i="46"/>
  <c r="M106" i="46"/>
  <c r="AG106" i="46" s="1"/>
  <c r="AI116" i="46"/>
  <c r="AI80" i="46"/>
  <c r="M80" i="46" s="1"/>
  <c r="AG80" i="46" s="1"/>
  <c r="AI107" i="46"/>
  <c r="M107" i="46" s="1"/>
  <c r="AJ87" i="46"/>
  <c r="L87" i="46"/>
  <c r="L112" i="46"/>
  <c r="AJ112" i="46"/>
  <c r="L120" i="46"/>
  <c r="AJ120" i="46"/>
  <c r="M92" i="46"/>
  <c r="AJ92" i="46"/>
  <c r="L90" i="46"/>
  <c r="AJ90" i="46"/>
  <c r="M90" i="46"/>
  <c r="AG90" i="46" s="1"/>
  <c r="L108" i="46"/>
  <c r="M108" i="46"/>
  <c r="AG108" i="46" s="1"/>
  <c r="AI98" i="46"/>
  <c r="M98" i="46" s="1"/>
  <c r="M113" i="46"/>
  <c r="L113" i="46"/>
  <c r="AJ113" i="46"/>
  <c r="AJ78" i="46"/>
  <c r="L78" i="46"/>
  <c r="M78" i="46"/>
  <c r="AG78" i="46" s="1"/>
  <c r="AJ88" i="46"/>
  <c r="L88" i="46"/>
  <c r="AI118" i="46"/>
  <c r="M118" i="46" s="1"/>
  <c r="AG118" i="46" s="1"/>
  <c r="X123" i="46"/>
  <c r="AJ104" i="46" l="1"/>
  <c r="P28" i="44"/>
  <c r="AJ82" i="46"/>
  <c r="M105" i="46"/>
  <c r="AG105" i="46" s="1"/>
  <c r="P131" i="44"/>
  <c r="P138" i="44"/>
  <c r="P42" i="44"/>
  <c r="AF6" i="35"/>
  <c r="P84" i="44"/>
  <c r="P65" i="44"/>
  <c r="Y6" i="35"/>
  <c r="M119" i="46"/>
  <c r="AG119" i="46" s="1"/>
  <c r="P107" i="44"/>
  <c r="P59" i="44"/>
  <c r="R6" i="35"/>
  <c r="P118" i="44"/>
  <c r="P52" i="44"/>
  <c r="P116" i="44"/>
  <c r="P71" i="44"/>
  <c r="P30" i="44"/>
  <c r="P32" i="44"/>
  <c r="P87" i="44"/>
  <c r="AJ117" i="46"/>
  <c r="AJ103" i="46"/>
  <c r="M85" i="46"/>
  <c r="AG85" i="46" s="1"/>
  <c r="L103" i="46"/>
  <c r="L95" i="46"/>
  <c r="M121" i="46"/>
  <c r="AG121" i="46" s="1"/>
  <c r="BG41" i="46"/>
  <c r="AW11" i="46"/>
  <c r="M94" i="46"/>
  <c r="AG94" i="46" s="1"/>
  <c r="L93" i="46"/>
  <c r="M117" i="46"/>
  <c r="AG117" i="46" s="1"/>
  <c r="AJ94" i="46"/>
  <c r="M123" i="46"/>
  <c r="AG123" i="46" s="1"/>
  <c r="L105" i="46"/>
  <c r="N53" i="46"/>
  <c r="L86" i="46"/>
  <c r="BG52" i="46"/>
  <c r="AJ119" i="46"/>
  <c r="AJ89" i="46"/>
  <c r="AS86" i="46"/>
  <c r="BA52" i="46"/>
  <c r="M89" i="46"/>
  <c r="AG89" i="46" s="1"/>
  <c r="BC52" i="46"/>
  <c r="BI52" i="46"/>
  <c r="BE40" i="46"/>
  <c r="BE85" i="46"/>
  <c r="AJ121" i="46"/>
  <c r="BE57" i="46"/>
  <c r="BE48" i="46"/>
  <c r="BE50" i="46"/>
  <c r="AY102" i="46"/>
  <c r="AY70" i="46"/>
  <c r="BE99" i="46"/>
  <c r="AJ99" i="46"/>
  <c r="BE58" i="46"/>
  <c r="AY61" i="46"/>
  <c r="N44" i="44"/>
  <c r="N12" i="46"/>
  <c r="N20" i="46" s="1"/>
  <c r="K135" i="23" s="1"/>
  <c r="AY50" i="46"/>
  <c r="AY30" i="46"/>
  <c r="AL2" i="46"/>
  <c r="L123" i="46"/>
  <c r="AY90" i="46"/>
  <c r="L142" i="46"/>
  <c r="AY84" i="46"/>
  <c r="AY95" i="46"/>
  <c r="BE81" i="46"/>
  <c r="L150" i="46"/>
  <c r="Q28" i="46"/>
  <c r="U190" i="32"/>
  <c r="U187" i="32"/>
  <c r="U155" i="32"/>
  <c r="U129" i="32"/>
  <c r="U139" i="32"/>
  <c r="U150" i="32"/>
  <c r="U115" i="32"/>
  <c r="U105" i="32"/>
  <c r="U88" i="32"/>
  <c r="U65" i="32"/>
  <c r="BG44" i="46"/>
  <c r="BE41" i="46"/>
  <c r="AD5" i="45"/>
  <c r="AY101" i="46"/>
  <c r="R38" i="46"/>
  <c r="AC6" i="45"/>
  <c r="F42" i="46"/>
  <c r="P5" i="45"/>
  <c r="L157" i="46"/>
  <c r="M157" i="46" s="1"/>
  <c r="AS110" i="46"/>
  <c r="AJ114" i="46"/>
  <c r="W34" i="46"/>
  <c r="M114" i="46"/>
  <c r="AG114" i="46" s="1"/>
  <c r="BG91" i="46"/>
  <c r="BA91" i="46"/>
  <c r="AS93" i="46"/>
  <c r="AW91" i="46"/>
  <c r="BE63" i="46"/>
  <c r="BC87" i="46"/>
  <c r="BC47" i="46"/>
  <c r="AY47" i="46"/>
  <c r="BC44" i="46"/>
  <c r="AY36" i="46"/>
  <c r="AY107" i="46"/>
  <c r="P44" i="44"/>
  <c r="P140" i="44"/>
  <c r="P93" i="44"/>
  <c r="P61" i="44"/>
  <c r="P122" i="44"/>
  <c r="P54" i="44"/>
  <c r="P117" i="44"/>
  <c r="P95" i="44"/>
  <c r="AW52" i="46"/>
  <c r="BG107" i="46"/>
  <c r="P100" i="44"/>
  <c r="P77" i="44"/>
  <c r="P125" i="44"/>
  <c r="Q5" i="45"/>
  <c r="P55" i="44"/>
  <c r="BE78" i="46"/>
  <c r="P48" i="44"/>
  <c r="P121" i="44"/>
  <c r="P108" i="44"/>
  <c r="AW17" i="46"/>
  <c r="P67" i="44"/>
  <c r="F32" i="46"/>
  <c r="AS78" i="46"/>
  <c r="P126" i="44"/>
  <c r="P81" i="44"/>
  <c r="P99" i="44"/>
  <c r="P57" i="44"/>
  <c r="P115" i="44"/>
  <c r="P85" i="44"/>
  <c r="P64" i="44"/>
  <c r="P91" i="44"/>
  <c r="BC17" i="46"/>
  <c r="AY52" i="46"/>
  <c r="BA107" i="46"/>
  <c r="P92" i="44"/>
  <c r="BE17" i="46"/>
  <c r="P106" i="44"/>
  <c r="W32" i="46"/>
  <c r="E32" i="46" s="1"/>
  <c r="R5" i="45"/>
  <c r="P60" i="44"/>
  <c r="P83" i="44"/>
  <c r="BE43" i="46"/>
  <c r="P130" i="44"/>
  <c r="P127" i="44"/>
  <c r="P78" i="44"/>
  <c r="P124" i="44"/>
  <c r="P80" i="44"/>
  <c r="AW107" i="46"/>
  <c r="P70" i="44"/>
  <c r="P56" i="44"/>
  <c r="AY17" i="46"/>
  <c r="P49" i="44"/>
  <c r="AD6" i="45"/>
  <c r="AC5" i="45"/>
  <c r="P58" i="44"/>
  <c r="P98" i="44"/>
  <c r="P79" i="44"/>
  <c r="P75" i="44"/>
  <c r="P68" i="44"/>
  <c r="P66" i="44"/>
  <c r="P69" i="44"/>
  <c r="P82" i="44"/>
  <c r="P97" i="44"/>
  <c r="P114" i="44"/>
  <c r="P129" i="44"/>
  <c r="P113" i="44"/>
  <c r="D155" i="46"/>
  <c r="BE87" i="46"/>
  <c r="V64" i="46"/>
  <c r="U143" i="44"/>
  <c r="C13" i="44" s="1"/>
  <c r="BI34" i="46"/>
  <c r="Q6" i="45"/>
  <c r="W5" i="45"/>
  <c r="AB5" i="45"/>
  <c r="O6" i="45"/>
  <c r="Y5" i="45"/>
  <c r="L5" i="45"/>
  <c r="T5" i="45"/>
  <c r="AH4" i="45"/>
  <c r="AA6" i="45"/>
  <c r="AS99" i="46"/>
  <c r="O5" i="45"/>
  <c r="H5" i="45"/>
  <c r="BI94" i="46"/>
  <c r="BG47" i="46"/>
  <c r="K6" i="45"/>
  <c r="AE6" i="45"/>
  <c r="AW87" i="46"/>
  <c r="I6" i="45"/>
  <c r="N5" i="45"/>
  <c r="U5" i="45"/>
  <c r="AY105" i="46"/>
  <c r="BG97" i="46"/>
  <c r="BI110" i="46"/>
  <c r="AY110" i="46"/>
  <c r="AG5" i="45"/>
  <c r="AW94" i="46"/>
  <c r="AW38" i="46"/>
  <c r="AE5" i="45"/>
  <c r="M5" i="45"/>
  <c r="AY87" i="46"/>
  <c r="G5" i="45"/>
  <c r="V6" i="45"/>
  <c r="Y6" i="45"/>
  <c r="BI99" i="46"/>
  <c r="BG110" i="46"/>
  <c r="BC110" i="46"/>
  <c r="F5" i="45"/>
  <c r="AS94" i="46"/>
  <c r="BA87" i="46"/>
  <c r="J5" i="45"/>
  <c r="Z5" i="45"/>
  <c r="T6" i="45"/>
  <c r="AG6" i="45"/>
  <c r="M6" i="45"/>
  <c r="X5" i="45"/>
  <c r="U146" i="44"/>
  <c r="C16" i="44" s="1"/>
  <c r="AS38" i="46"/>
  <c r="AW34" i="46"/>
  <c r="BA110" i="46"/>
  <c r="V5" i="45"/>
  <c r="H6" i="45"/>
  <c r="J6" i="45"/>
  <c r="I5" i="45"/>
  <c r="AA5" i="45"/>
  <c r="N64" i="46"/>
  <c r="L155" i="46"/>
  <c r="M155" i="46" s="1"/>
  <c r="W64" i="46"/>
  <c r="D64" i="46" s="1"/>
  <c r="AJ111" i="46"/>
  <c r="AW110" i="46"/>
  <c r="BI107" i="46"/>
  <c r="AS107" i="46"/>
  <c r="P101" i="44"/>
  <c r="BC32" i="46"/>
  <c r="P139" i="44"/>
  <c r="B25" i="40"/>
  <c r="P102" i="44"/>
  <c r="P89" i="44"/>
  <c r="AI62" i="46"/>
  <c r="L62" i="46" s="1"/>
  <c r="AS105" i="46"/>
  <c r="B64" i="46"/>
  <c r="BE38" i="46"/>
  <c r="AS41" i="46"/>
  <c r="P50" i="44"/>
  <c r="P96" i="44"/>
  <c r="P133" i="44"/>
  <c r="P128" i="44"/>
  <c r="P47" i="44"/>
  <c r="P88" i="44"/>
  <c r="P76" i="44"/>
  <c r="P123" i="44"/>
  <c r="P63" i="44"/>
  <c r="P135" i="44"/>
  <c r="BG17" i="46"/>
  <c r="U141" i="44"/>
  <c r="C11" i="44" s="1"/>
  <c r="BE19" i="46"/>
  <c r="U142" i="44"/>
  <c r="C12" i="44" s="1"/>
  <c r="AS81" i="46"/>
  <c r="L6" i="45"/>
  <c r="BG94" i="46"/>
  <c r="P62" i="44"/>
  <c r="P90" i="44"/>
  <c r="P46" i="44"/>
  <c r="P86" i="44"/>
  <c r="BI17" i="46"/>
  <c r="L26" i="40"/>
  <c r="P43" i="44"/>
  <c r="P105" i="44"/>
  <c r="P45" i="44"/>
  <c r="AF6" i="45"/>
  <c r="S5" i="45"/>
  <c r="BA34" i="46"/>
  <c r="Z6" i="45"/>
  <c r="N6" i="45"/>
  <c r="AB6" i="45"/>
  <c r="BC101" i="46"/>
  <c r="BA105" i="46"/>
  <c r="BA101" i="46"/>
  <c r="BG62" i="46"/>
  <c r="BI101" i="46"/>
  <c r="BC78" i="46"/>
  <c r="BC97" i="46"/>
  <c r="AW78" i="46"/>
  <c r="AW44" i="46"/>
  <c r="BG63" i="46"/>
  <c r="M111" i="46"/>
  <c r="AG111" i="46" s="1"/>
  <c r="V132" i="44"/>
  <c r="V120" i="44"/>
  <c r="V108" i="44"/>
  <c r="V96" i="44"/>
  <c r="V84" i="44"/>
  <c r="V72" i="44"/>
  <c r="V60" i="44"/>
  <c r="V48" i="44"/>
  <c r="V113" i="44"/>
  <c r="V65" i="44"/>
  <c r="V79" i="44"/>
  <c r="V87" i="44"/>
  <c r="V115" i="44"/>
  <c r="V138" i="44"/>
  <c r="V124" i="44"/>
  <c r="V110" i="44"/>
  <c r="V94" i="44"/>
  <c r="V80" i="44"/>
  <c r="V66" i="44"/>
  <c r="V52" i="44"/>
  <c r="V121" i="44"/>
  <c r="V57" i="44"/>
  <c r="V55" i="44"/>
  <c r="V139" i="44"/>
  <c r="V83" i="44"/>
  <c r="V133" i="44"/>
  <c r="V85" i="44"/>
  <c r="V42" i="44"/>
  <c r="V136" i="44"/>
  <c r="V122" i="44"/>
  <c r="V106" i="44"/>
  <c r="V92" i="44"/>
  <c r="V78" i="44"/>
  <c r="V64" i="44"/>
  <c r="V50" i="44"/>
  <c r="V105" i="44"/>
  <c r="V49" i="44"/>
  <c r="V135" i="44"/>
  <c r="V131" i="44"/>
  <c r="V75" i="44"/>
  <c r="V125" i="44"/>
  <c r="V77" i="44"/>
  <c r="W37" i="44"/>
  <c r="V134" i="44"/>
  <c r="V118" i="44"/>
  <c r="V104" i="44"/>
  <c r="V90" i="44"/>
  <c r="V76" i="44"/>
  <c r="V62" i="44"/>
  <c r="V46" i="44"/>
  <c r="V97" i="44"/>
  <c r="V127" i="44"/>
  <c r="V119" i="44"/>
  <c r="V123" i="44"/>
  <c r="V67" i="44"/>
  <c r="V117" i="44"/>
  <c r="V69" i="44"/>
  <c r="V130" i="44"/>
  <c r="V116" i="44"/>
  <c r="V102" i="44"/>
  <c r="V88" i="44"/>
  <c r="V74" i="44"/>
  <c r="V58" i="44"/>
  <c r="V44" i="44"/>
  <c r="V89" i="44"/>
  <c r="V111" i="44"/>
  <c r="V103" i="44"/>
  <c r="V107" i="44"/>
  <c r="V59" i="44"/>
  <c r="V109" i="44"/>
  <c r="V61" i="44"/>
  <c r="V41" i="44"/>
  <c r="V128" i="44"/>
  <c r="V114" i="44"/>
  <c r="V100" i="44"/>
  <c r="V86" i="44"/>
  <c r="V70" i="44"/>
  <c r="V56" i="44"/>
  <c r="V137" i="44"/>
  <c r="V81" i="44"/>
  <c r="V95" i="44"/>
  <c r="V71" i="44"/>
  <c r="V99" i="44"/>
  <c r="V51" i="44"/>
  <c r="V101" i="44"/>
  <c r="V53" i="44"/>
  <c r="V140" i="44"/>
  <c r="V126" i="44"/>
  <c r="V112" i="44"/>
  <c r="V98" i="44"/>
  <c r="V82" i="44"/>
  <c r="V68" i="44"/>
  <c r="V54" i="44"/>
  <c r="V129" i="44"/>
  <c r="V73" i="44"/>
  <c r="V63" i="44"/>
  <c r="V47" i="44"/>
  <c r="V91" i="44"/>
  <c r="V43" i="44"/>
  <c r="V93" i="44"/>
  <c r="V45" i="44"/>
  <c r="AY94" i="46"/>
  <c r="P119" i="44"/>
  <c r="P136" i="44"/>
  <c r="P120" i="44"/>
  <c r="P132" i="44"/>
  <c r="G26" i="40"/>
  <c r="BI47" i="46"/>
  <c r="P109" i="44"/>
  <c r="P111" i="44"/>
  <c r="BI97" i="46"/>
  <c r="R67" i="46"/>
  <c r="W67" i="46" s="1"/>
  <c r="S6" i="45"/>
  <c r="D151" i="46"/>
  <c r="L25" i="46"/>
  <c r="AW47" i="46"/>
  <c r="BE105" i="46"/>
  <c r="AY97" i="46"/>
  <c r="R66" i="46"/>
  <c r="M25" i="46"/>
  <c r="C82" i="45"/>
  <c r="C106" i="45"/>
  <c r="C19" i="45"/>
  <c r="C85" i="45"/>
  <c r="C105" i="45"/>
  <c r="C62" i="45"/>
  <c r="C7" i="45"/>
  <c r="C29" i="45"/>
  <c r="C84" i="45"/>
  <c r="C26" i="45"/>
  <c r="C53" i="45"/>
  <c r="C104" i="45"/>
  <c r="C22" i="45"/>
  <c r="C63" i="45"/>
  <c r="C99" i="45"/>
  <c r="C27" i="45"/>
  <c r="C77" i="45"/>
  <c r="C24" i="45"/>
  <c r="C96" i="45"/>
  <c r="C8" i="45"/>
  <c r="C9" i="45"/>
  <c r="C83" i="45"/>
  <c r="C103" i="45"/>
  <c r="C61" i="45"/>
  <c r="C41" i="45"/>
  <c r="C12" i="45"/>
  <c r="C23" i="45"/>
  <c r="C14" i="45"/>
  <c r="C64" i="45"/>
  <c r="C74" i="45"/>
  <c r="C48" i="45"/>
  <c r="C102" i="45"/>
  <c r="C98" i="45"/>
  <c r="C95" i="45"/>
  <c r="C33" i="45"/>
  <c r="C43" i="45"/>
  <c r="C81" i="45"/>
  <c r="C52" i="45"/>
  <c r="C17" i="45"/>
  <c r="C21" i="45"/>
  <c r="C39" i="45"/>
  <c r="C66" i="45"/>
  <c r="C87" i="45"/>
  <c r="C68" i="45"/>
  <c r="C78" i="45"/>
  <c r="C100" i="45"/>
  <c r="C92" i="45"/>
  <c r="C60" i="45"/>
  <c r="C86" i="45"/>
  <c r="C47" i="45"/>
  <c r="C89" i="45"/>
  <c r="C30" i="45"/>
  <c r="C11" i="45"/>
  <c r="C69" i="45"/>
  <c r="C34" i="45"/>
  <c r="C97" i="45"/>
  <c r="C59" i="45"/>
  <c r="C16" i="45"/>
  <c r="C58" i="45"/>
  <c r="C35" i="45"/>
  <c r="G128" i="44"/>
  <c r="Q128" i="44" s="1"/>
  <c r="C80" i="45"/>
  <c r="C57" i="45"/>
  <c r="C94" i="45"/>
  <c r="C40" i="45"/>
  <c r="C50" i="45"/>
  <c r="C79" i="45"/>
  <c r="C25" i="45"/>
  <c r="C88" i="45"/>
  <c r="C31" i="45"/>
  <c r="C46" i="45"/>
  <c r="C32" i="45"/>
  <c r="C90" i="45"/>
  <c r="C45" i="45"/>
  <c r="C51" i="45"/>
  <c r="C101" i="45"/>
  <c r="C75" i="45"/>
  <c r="C93" i="45"/>
  <c r="C15" i="45"/>
  <c r="C65" i="45"/>
  <c r="C36" i="45"/>
  <c r="C72" i="45"/>
  <c r="C71" i="45"/>
  <c r="C44" i="45"/>
  <c r="C70" i="45"/>
  <c r="C20" i="45"/>
  <c r="C10" i="45"/>
  <c r="C38" i="45"/>
  <c r="C18" i="45"/>
  <c r="C13" i="45"/>
  <c r="C28" i="45"/>
  <c r="C54" i="45"/>
  <c r="C55" i="45"/>
  <c r="C73" i="45"/>
  <c r="C76" i="45"/>
  <c r="C67" i="45"/>
  <c r="C91" i="45"/>
  <c r="C42" i="45"/>
  <c r="C37" i="45"/>
  <c r="C56" i="45"/>
  <c r="C49" i="45"/>
  <c r="P51" i="44"/>
  <c r="P41" i="44"/>
  <c r="BE103" i="46"/>
  <c r="BE65" i="46"/>
  <c r="U145" i="44"/>
  <c r="C15" i="44" s="1"/>
  <c r="AY46" i="46"/>
  <c r="U144" i="44"/>
  <c r="C14" i="44" s="1"/>
  <c r="BE94" i="46"/>
  <c r="P73" i="44"/>
  <c r="AY38" i="46"/>
  <c r="P94" i="44"/>
  <c r="P137" i="44"/>
  <c r="BE47" i="46"/>
  <c r="P72" i="44"/>
  <c r="BE97" i="46"/>
  <c r="AW97" i="46"/>
  <c r="AW105" i="46"/>
  <c r="I39" i="29"/>
  <c r="U218" i="32"/>
  <c r="U186" i="32"/>
  <c r="U175" i="32"/>
  <c r="U163" i="32"/>
  <c r="U133" i="32"/>
  <c r="U109" i="32"/>
  <c r="U78" i="32"/>
  <c r="U40" i="32"/>
  <c r="U232" i="32"/>
  <c r="U15" i="32"/>
  <c r="U217" i="32"/>
  <c r="U194" i="32"/>
  <c r="U185" i="32"/>
  <c r="U162" i="32"/>
  <c r="U143" i="32"/>
  <c r="U174" i="32"/>
  <c r="U108" i="32"/>
  <c r="U77" i="32"/>
  <c r="U39" i="32"/>
  <c r="U229" i="32"/>
  <c r="U6" i="32"/>
  <c r="U233" i="32"/>
  <c r="U158" i="32"/>
  <c r="U38" i="32"/>
  <c r="U117" i="32"/>
  <c r="U205" i="32"/>
  <c r="U181" i="32"/>
  <c r="U144" i="32"/>
  <c r="U83" i="32"/>
  <c r="Y3" i="32"/>
  <c r="U192" i="32"/>
  <c r="L115" i="46"/>
  <c r="J3" i="35"/>
  <c r="F1" i="35" s="1"/>
  <c r="I3" i="24"/>
  <c r="E1" i="24" s="1"/>
  <c r="R3" i="40"/>
  <c r="L1" i="40" s="1"/>
  <c r="H3" i="19"/>
  <c r="D1" i="19" s="1"/>
  <c r="M3" i="44"/>
  <c r="H1" i="44" s="1"/>
  <c r="AM3" i="45"/>
  <c r="AC1" i="45" s="1"/>
  <c r="AC3" i="37"/>
  <c r="R1" i="37" s="1"/>
  <c r="X1" i="23"/>
  <c r="AC3" i="27"/>
  <c r="T1" i="27" s="1"/>
  <c r="BA17" i="46"/>
  <c r="BA32" i="46"/>
  <c r="K5" i="45"/>
  <c r="W6" i="45"/>
  <c r="P6" i="45"/>
  <c r="U6" i="45"/>
  <c r="BE34" i="46"/>
  <c r="F6" i="45"/>
  <c r="P104" i="44"/>
  <c r="X6" i="45"/>
  <c r="BI87" i="46"/>
  <c r="R6" i="45"/>
  <c r="BI105" i="46"/>
  <c r="BG87" i="46"/>
  <c r="BA78" i="46"/>
  <c r="BI44" i="46"/>
  <c r="G6" i="45"/>
  <c r="AF5" i="45"/>
  <c r="AI90" i="23"/>
  <c r="M63" i="46"/>
  <c r="AY32" i="46"/>
  <c r="BA81" i="46"/>
  <c r="AW81" i="46"/>
  <c r="BG81" i="46"/>
  <c r="BA97" i="46"/>
  <c r="BI62" i="46"/>
  <c r="BC66" i="46"/>
  <c r="AW62" i="46"/>
  <c r="BE62" i="46"/>
  <c r="BE66" i="46"/>
  <c r="BA44" i="46"/>
  <c r="AW43" i="46"/>
  <c r="AS43" i="46"/>
  <c r="AS111" i="46"/>
  <c r="BE111" i="46"/>
  <c r="BG101" i="46"/>
  <c r="BE101" i="46"/>
  <c r="BC36" i="46"/>
  <c r="BE44" i="46"/>
  <c r="AY44" i="46"/>
  <c r="AS63" i="46"/>
  <c r="AY63" i="46"/>
  <c r="BA63" i="46"/>
  <c r="BC63" i="46"/>
  <c r="BI63" i="46"/>
  <c r="BG43" i="46"/>
  <c r="BE20" i="46"/>
  <c r="BI104" i="46"/>
  <c r="BA104" i="46"/>
  <c r="AS36" i="46"/>
  <c r="BI36" i="46"/>
  <c r="BC43" i="46"/>
  <c r="AS104" i="46"/>
  <c r="BI43" i="46"/>
  <c r="AI225" i="23"/>
  <c r="BG36" i="46"/>
  <c r="AS73" i="46"/>
  <c r="BC73" i="46"/>
  <c r="BA73" i="46"/>
  <c r="BG73" i="46"/>
  <c r="BE73" i="46"/>
  <c r="AY73" i="46"/>
  <c r="AW73" i="46"/>
  <c r="BA43" i="46"/>
  <c r="BE104" i="46"/>
  <c r="AW101" i="46"/>
  <c r="AW36" i="46"/>
  <c r="BE36" i="46"/>
  <c r="AY41" i="46"/>
  <c r="BC41" i="46"/>
  <c r="AW41" i="46"/>
  <c r="W52" i="46"/>
  <c r="D52" i="46" s="1"/>
  <c r="W49" i="46"/>
  <c r="D49" i="46" s="1"/>
  <c r="AW104" i="46"/>
  <c r="BA62" i="46"/>
  <c r="B26" i="40"/>
  <c r="AY62" i="46"/>
  <c r="BC105" i="46"/>
  <c r="BA94" i="46"/>
  <c r="BC62" i="46"/>
  <c r="AY34" i="46"/>
  <c r="AF272" i="23"/>
  <c r="AD268" i="23" s="1"/>
  <c r="AI268" i="23" s="1"/>
  <c r="Q66" i="46"/>
  <c r="W66" i="46" s="1"/>
  <c r="BA66" i="46"/>
  <c r="BA47" i="46"/>
  <c r="O64" i="46"/>
  <c r="AA304" i="23" s="1"/>
  <c r="BG34" i="46"/>
  <c r="AW66" i="46"/>
  <c r="D36" i="46"/>
  <c r="R36" i="46"/>
  <c r="Q36" i="46" s="1"/>
  <c r="N36" i="46" s="1"/>
  <c r="R40" i="46"/>
  <c r="BA20" i="46"/>
  <c r="AW28" i="46"/>
  <c r="BG104" i="46"/>
  <c r="AY104" i="46"/>
  <c r="AS19" i="46"/>
  <c r="BC28" i="46"/>
  <c r="AJ25" i="23"/>
  <c r="B25" i="23" s="1"/>
  <c r="H18" i="50" s="1"/>
  <c r="I18" i="50" s="1"/>
  <c r="J18" i="50" s="1"/>
  <c r="BI28" i="46"/>
  <c r="AS28" i="46"/>
  <c r="B24" i="23"/>
  <c r="H17" i="50" s="1"/>
  <c r="I17" i="50" s="1"/>
  <c r="J17" i="50" s="1"/>
  <c r="AW111" i="46"/>
  <c r="BA99" i="46"/>
  <c r="N43" i="46"/>
  <c r="W43" i="46"/>
  <c r="D43" i="46" s="1"/>
  <c r="W50" i="46"/>
  <c r="AI50" i="46" s="1"/>
  <c r="O43" i="46"/>
  <c r="W45" i="46"/>
  <c r="D45" i="46" s="1"/>
  <c r="W46" i="46"/>
  <c r="D46" i="46" s="1"/>
  <c r="W51" i="46"/>
  <c r="AI51" i="46" s="1"/>
  <c r="W48" i="46"/>
  <c r="D48" i="46" s="1"/>
  <c r="W47" i="46"/>
  <c r="AI47" i="46" s="1"/>
  <c r="AY19" i="46"/>
  <c r="BC46" i="46"/>
  <c r="AW23" i="46"/>
  <c r="BG23" i="46"/>
  <c r="BE24" i="46"/>
  <c r="BC23" i="46"/>
  <c r="BC34" i="46"/>
  <c r="BA111" i="46"/>
  <c r="BC19" i="46"/>
  <c r="BA24" i="46"/>
  <c r="AS82" i="46"/>
  <c r="AY82" i="46"/>
  <c r="AW82" i="46"/>
  <c r="BE82" i="46"/>
  <c r="BG82" i="46"/>
  <c r="AE6" i="35"/>
  <c r="X6" i="35"/>
  <c r="AL6" i="35"/>
  <c r="BC24" i="46"/>
  <c r="BA82" i="46"/>
  <c r="BC111" i="46"/>
  <c r="AY111" i="46"/>
  <c r="BI111" i="46"/>
  <c r="BC82" i="46"/>
  <c r="BA23" i="46"/>
  <c r="AY18" i="46"/>
  <c r="AY28" i="46"/>
  <c r="BC99" i="46"/>
  <c r="AY99" i="46"/>
  <c r="AW99" i="46"/>
  <c r="BG99" i="46"/>
  <c r="Q6" i="35"/>
  <c r="AS42" i="46"/>
  <c r="BE28" i="46"/>
  <c r="AS46" i="46"/>
  <c r="BA46" i="46"/>
  <c r="AW46" i="46"/>
  <c r="BI46" i="46"/>
  <c r="BE46" i="46"/>
  <c r="AY23" i="46"/>
  <c r="BE18" i="46"/>
  <c r="BI38" i="46"/>
  <c r="BG38" i="46"/>
  <c r="BC38" i="46"/>
  <c r="O68" i="46"/>
  <c r="W68" i="46"/>
  <c r="W59" i="46"/>
  <c r="W60" i="46"/>
  <c r="W57" i="46"/>
  <c r="W58" i="46"/>
  <c r="W61" i="46"/>
  <c r="AS91" i="46"/>
  <c r="BI91" i="46"/>
  <c r="BC91" i="46"/>
  <c r="AY91" i="46"/>
  <c r="BA26" i="46"/>
  <c r="AS100" i="46"/>
  <c r="BE100" i="46"/>
  <c r="AW100" i="46"/>
  <c r="AY100" i="46"/>
  <c r="BA100" i="46"/>
  <c r="BC100" i="46"/>
  <c r="BI100" i="46"/>
  <c r="BG100" i="46"/>
  <c r="AS66" i="46"/>
  <c r="BG66" i="46"/>
  <c r="BI66" i="46"/>
  <c r="BG18" i="46"/>
  <c r="BC18" i="46"/>
  <c r="BI18" i="46"/>
  <c r="W65" i="46"/>
  <c r="D65" i="46" s="1"/>
  <c r="F65" i="46"/>
  <c r="D158" i="46" s="1"/>
  <c r="O65" i="46"/>
  <c r="N65" i="46"/>
  <c r="W38" i="46"/>
  <c r="Q38" i="46"/>
  <c r="N38" i="46" s="1"/>
  <c r="AS96" i="46"/>
  <c r="BG96" i="46"/>
  <c r="BC96" i="46"/>
  <c r="AY96" i="46"/>
  <c r="AW96" i="46"/>
  <c r="BE96" i="46"/>
  <c r="BI96" i="46"/>
  <c r="BA96" i="46"/>
  <c r="AS75" i="46"/>
  <c r="BA75" i="46"/>
  <c r="BI75" i="46"/>
  <c r="BC75" i="46"/>
  <c r="AY75" i="46"/>
  <c r="BE75" i="46"/>
  <c r="AW75" i="46"/>
  <c r="BG75" i="46"/>
  <c r="AS51" i="46"/>
  <c r="BG51" i="46"/>
  <c r="AY51" i="46"/>
  <c r="AW51" i="46"/>
  <c r="BE51" i="46"/>
  <c r="BC51" i="46"/>
  <c r="BA51" i="46"/>
  <c r="BI51" i="46"/>
  <c r="AS33" i="46"/>
  <c r="AY33" i="46"/>
  <c r="BG33" i="46"/>
  <c r="BI33" i="46"/>
  <c r="BC33" i="46"/>
  <c r="BE33" i="46"/>
  <c r="AW33" i="46"/>
  <c r="BA33" i="46"/>
  <c r="AW74" i="46"/>
  <c r="BE74" i="46"/>
  <c r="AY74" i="46"/>
  <c r="BI74" i="46"/>
  <c r="AS74" i="46"/>
  <c r="BG74" i="46"/>
  <c r="BC74" i="46"/>
  <c r="AI64" i="46"/>
  <c r="BA28" i="46"/>
  <c r="AS109" i="46"/>
  <c r="AW109" i="46"/>
  <c r="BE109" i="46"/>
  <c r="BC109" i="46"/>
  <c r="BG109" i="46"/>
  <c r="BA109" i="46"/>
  <c r="BI109" i="46"/>
  <c r="AY109" i="46"/>
  <c r="L6" i="35"/>
  <c r="BA42" i="46"/>
  <c r="BE42" i="46"/>
  <c r="BC42" i="46"/>
  <c r="AW42" i="46"/>
  <c r="BI42" i="46"/>
  <c r="AY42" i="46"/>
  <c r="AS32" i="46"/>
  <c r="AW32" i="46"/>
  <c r="BG32" i="46"/>
  <c r="BI32" i="46"/>
  <c r="AS92" i="46"/>
  <c r="AY92" i="46"/>
  <c r="BE92" i="46"/>
  <c r="AW92" i="46"/>
  <c r="BA92" i="46"/>
  <c r="BC92" i="46"/>
  <c r="BG92" i="46"/>
  <c r="BI92" i="46"/>
  <c r="AJ93" i="46"/>
  <c r="AJ115" i="46"/>
  <c r="AW18" i="46"/>
  <c r="BA18" i="46"/>
  <c r="F34" i="46"/>
  <c r="I34" i="46"/>
  <c r="E34" i="46"/>
  <c r="J15" i="44"/>
  <c r="J12" i="44"/>
  <c r="B131" i="46" s="1"/>
  <c r="D44" i="46"/>
  <c r="AI44" i="46"/>
  <c r="AS23" i="46"/>
  <c r="BI23" i="46"/>
  <c r="BE26" i="46"/>
  <c r="AW26" i="46"/>
  <c r="BC26" i="46"/>
  <c r="AS26" i="46"/>
  <c r="AY26" i="46"/>
  <c r="BI26" i="46"/>
  <c r="R14" i="23"/>
  <c r="C8" i="46"/>
  <c r="B12" i="46" s="1"/>
  <c r="C15" i="46"/>
  <c r="B19" i="46" s="1"/>
  <c r="R15" i="23"/>
  <c r="AY20" i="46"/>
  <c r="BG20" i="46"/>
  <c r="AS20" i="46"/>
  <c r="BC20" i="46"/>
  <c r="BI20" i="46"/>
  <c r="AS22" i="46"/>
  <c r="AY22" i="46"/>
  <c r="BC22" i="46"/>
  <c r="BI22" i="46"/>
  <c r="BG22" i="46"/>
  <c r="BE22" i="46"/>
  <c r="BA22" i="46"/>
  <c r="AW39" i="46"/>
  <c r="BI39" i="46"/>
  <c r="AS39" i="46"/>
  <c r="BE39" i="46"/>
  <c r="BA39" i="46"/>
  <c r="BG39" i="46"/>
  <c r="AY39" i="46"/>
  <c r="BC39" i="46"/>
  <c r="AW93" i="46"/>
  <c r="BG93" i="46"/>
  <c r="AY93" i="46"/>
  <c r="BE93" i="46"/>
  <c r="BI93" i="46"/>
  <c r="BA93" i="46"/>
  <c r="AD227" i="23"/>
  <c r="AI227" i="23" s="1"/>
  <c r="AS25" i="46"/>
  <c r="BE25" i="46"/>
  <c r="BC25" i="46"/>
  <c r="BI25" i="46"/>
  <c r="BA25" i="46"/>
  <c r="AY25" i="46"/>
  <c r="BG25" i="46"/>
  <c r="BC11" i="46"/>
  <c r="BI11" i="46"/>
  <c r="BA11" i="46"/>
  <c r="BE11" i="46"/>
  <c r="AS11" i="46"/>
  <c r="AY11" i="46"/>
  <c r="Z6" i="35"/>
  <c r="BG37" i="46"/>
  <c r="AS37" i="46"/>
  <c r="AY37" i="46"/>
  <c r="BC37" i="46"/>
  <c r="BA37" i="46"/>
  <c r="AW37" i="46"/>
  <c r="BE37" i="46"/>
  <c r="BI37" i="46"/>
  <c r="AS76" i="46"/>
  <c r="BI76" i="46"/>
  <c r="BG76" i="46"/>
  <c r="AY76" i="46"/>
  <c r="AW76" i="46"/>
  <c r="BA76" i="46"/>
  <c r="BC76" i="46"/>
  <c r="BE76" i="46"/>
  <c r="AS24" i="46"/>
  <c r="BG24" i="46"/>
  <c r="BI24" i="46"/>
  <c r="AY24" i="46"/>
  <c r="S6" i="35"/>
  <c r="AY64" i="46"/>
  <c r="BG64" i="46"/>
  <c r="AS64" i="46"/>
  <c r="BI64" i="46"/>
  <c r="BE64" i="46"/>
  <c r="BC64" i="46"/>
  <c r="AW64" i="46"/>
  <c r="BA64" i="46"/>
  <c r="BA72" i="46"/>
  <c r="BI72" i="46"/>
  <c r="BG72" i="46"/>
  <c r="AY72" i="46"/>
  <c r="AS72" i="46"/>
  <c r="AW72" i="46"/>
  <c r="BE72" i="46"/>
  <c r="BC72" i="46"/>
  <c r="BI19" i="46"/>
  <c r="AW19" i="46"/>
  <c r="BG19" i="46"/>
  <c r="AG6" i="35"/>
  <c r="AI4" i="45"/>
  <c r="AH5" i="45"/>
  <c r="AH6" i="45"/>
  <c r="AH107" i="45"/>
  <c r="BA88" i="46"/>
  <c r="BE88" i="46"/>
  <c r="AY88" i="46"/>
  <c r="BG88" i="46"/>
  <c r="AS88" i="46"/>
  <c r="BI88" i="46"/>
  <c r="AW88" i="46"/>
  <c r="BC88" i="46"/>
  <c r="BC86" i="46"/>
  <c r="BG86" i="46"/>
  <c r="BI86" i="46"/>
  <c r="BE86" i="46"/>
  <c r="AW86" i="46"/>
  <c r="BG71" i="46"/>
  <c r="BE71" i="46"/>
  <c r="BA71" i="46"/>
  <c r="AS71" i="46"/>
  <c r="AY71" i="46"/>
  <c r="AW71" i="46"/>
  <c r="BC71" i="46"/>
  <c r="BI71" i="46"/>
  <c r="BG16" i="46"/>
  <c r="BI16" i="46"/>
  <c r="AY16" i="46"/>
  <c r="BE16" i="46"/>
  <c r="AS16" i="46"/>
  <c r="BC16" i="46"/>
  <c r="BA16" i="46"/>
  <c r="AW16" i="46"/>
  <c r="AR202" i="23"/>
  <c r="AR203" i="23" s="1"/>
  <c r="AY205" i="23"/>
  <c r="AY206" i="23" s="1"/>
  <c r="AY27" i="46"/>
  <c r="AS27" i="46"/>
  <c r="AW27" i="46"/>
  <c r="BA27" i="46"/>
  <c r="BG27" i="46"/>
  <c r="BC27" i="46"/>
  <c r="BE27" i="46"/>
  <c r="BI27" i="46"/>
  <c r="AW21" i="46"/>
  <c r="AY21" i="46"/>
  <c r="AS21" i="46"/>
  <c r="BC21" i="46"/>
  <c r="BG21" i="46"/>
  <c r="BA21" i="46"/>
  <c r="BE21" i="46"/>
  <c r="BI21" i="46"/>
  <c r="BG202" i="23"/>
  <c r="BG203" i="23" s="1"/>
  <c r="BE199" i="23"/>
  <c r="BE200" i="23" s="1"/>
  <c r="BI196" i="23"/>
  <c r="BI197" i="23" s="1"/>
  <c r="AN7" i="35"/>
  <c r="AO7" i="35" s="1"/>
  <c r="AM8" i="35"/>
  <c r="AM5" i="35"/>
  <c r="AM6" i="35" s="1"/>
  <c r="BE9" i="46"/>
  <c r="AS9" i="46"/>
  <c r="AW9" i="46"/>
  <c r="BG9" i="46"/>
  <c r="BC9" i="46"/>
  <c r="BI9" i="46"/>
  <c r="BA9" i="46"/>
  <c r="AY9" i="46"/>
  <c r="J14" i="44"/>
  <c r="AS68" i="46"/>
  <c r="BE68" i="46"/>
  <c r="AW68" i="46"/>
  <c r="AY68" i="46"/>
  <c r="BA68" i="46"/>
  <c r="BI68" i="46"/>
  <c r="BG68" i="46"/>
  <c r="BC68" i="46"/>
  <c r="BC202" i="23"/>
  <c r="BC203" i="23" s="1"/>
  <c r="AR205" i="23"/>
  <c r="AR206" i="23" s="1"/>
  <c r="U16" i="35"/>
  <c r="O13" i="35"/>
  <c r="Y13" i="35"/>
  <c r="Y14" i="35" s="1"/>
  <c r="AK16" i="35"/>
  <c r="S16" i="35"/>
  <c r="AM15" i="35"/>
  <c r="AN15" i="35" s="1"/>
  <c r="AO15" i="35" s="1"/>
  <c r="AJ16" i="35"/>
  <c r="AG16" i="35"/>
  <c r="AF16" i="35"/>
  <c r="Q16" i="35"/>
  <c r="S13" i="35"/>
  <c r="U13" i="35"/>
  <c r="AD16" i="35"/>
  <c r="X16" i="35"/>
  <c r="N13" i="35"/>
  <c r="K16" i="35"/>
  <c r="AH13" i="35"/>
  <c r="AH14" i="35" s="1"/>
  <c r="P16" i="35"/>
  <c r="AE13" i="35"/>
  <c r="AE14" i="35" s="1"/>
  <c r="L16" i="35"/>
  <c r="N16" i="35"/>
  <c r="R16" i="35"/>
  <c r="Y16" i="35"/>
  <c r="W16" i="35"/>
  <c r="T13" i="35"/>
  <c r="T14" i="35" s="1"/>
  <c r="AA13" i="35"/>
  <c r="AA14" i="35" s="1"/>
  <c r="P13" i="35"/>
  <c r="P14" i="35" s="1"/>
  <c r="O16" i="35"/>
  <c r="Q13" i="35"/>
  <c r="Q14" i="35" s="1"/>
  <c r="AH16" i="35"/>
  <c r="AG13" i="35"/>
  <c r="V16" i="35"/>
  <c r="AF13" i="35"/>
  <c r="AF14" i="35" s="1"/>
  <c r="AA16" i="35"/>
  <c r="M13" i="35"/>
  <c r="M14" i="35" s="1"/>
  <c r="T16" i="35"/>
  <c r="X13" i="35"/>
  <c r="X14" i="35" s="1"/>
  <c r="AK13" i="35"/>
  <c r="AK14" i="35" s="1"/>
  <c r="AI16" i="35"/>
  <c r="AC16" i="35"/>
  <c r="R13" i="35"/>
  <c r="R14" i="35" s="1"/>
  <c r="M16" i="35"/>
  <c r="Z16" i="35"/>
  <c r="AC13" i="35"/>
  <c r="AD13" i="35"/>
  <c r="AD14" i="35" s="1"/>
  <c r="Z13" i="35"/>
  <c r="Z14" i="35" s="1"/>
  <c r="W13" i="35"/>
  <c r="W14" i="35" s="1"/>
  <c r="AL13" i="35"/>
  <c r="AL14" i="35" s="1"/>
  <c r="V13" i="35"/>
  <c r="L13" i="35"/>
  <c r="L14" i="35" s="1"/>
  <c r="AI13" i="35"/>
  <c r="AL16" i="35"/>
  <c r="AE16" i="35"/>
  <c r="AB13" i="35"/>
  <c r="AB16" i="35"/>
  <c r="AJ13" i="35"/>
  <c r="K13" i="35"/>
  <c r="K14" i="35" s="1"/>
  <c r="AY199" i="23"/>
  <c r="AY200" i="23" s="1"/>
  <c r="BI208" i="23"/>
  <c r="BI209" i="23" s="1"/>
  <c r="BC196" i="23"/>
  <c r="BC197" i="23" s="1"/>
  <c r="AY202" i="23"/>
  <c r="AY203" i="23" s="1"/>
  <c r="AL202" i="23"/>
  <c r="AG110" i="46"/>
  <c r="AY29" i="46"/>
  <c r="AS29" i="46"/>
  <c r="BC29" i="46"/>
  <c r="BE29" i="46"/>
  <c r="BG29" i="46"/>
  <c r="BA29" i="46"/>
  <c r="AW29" i="46"/>
  <c r="BI29" i="46"/>
  <c r="J16" i="44"/>
  <c r="AY196" i="23"/>
  <c r="AY197" i="23" s="1"/>
  <c r="V41" i="23"/>
  <c r="AW199" i="23"/>
  <c r="AW200" i="23" s="1"/>
  <c r="BA199" i="23"/>
  <c r="BA200" i="23" s="1"/>
  <c r="BA205" i="23"/>
  <c r="BA206" i="23" s="1"/>
  <c r="AL199" i="23"/>
  <c r="AU199" i="23"/>
  <c r="AU200" i="23" s="1"/>
  <c r="BA202" i="23"/>
  <c r="BA203" i="23" s="1"/>
  <c r="BE202" i="23"/>
  <c r="BE203" i="23" s="1"/>
  <c r="AU202" i="23"/>
  <c r="AU203" i="23" s="1"/>
  <c r="BC199" i="23"/>
  <c r="BC200" i="23" s="1"/>
  <c r="AN208" i="23"/>
  <c r="AN209" i="23" s="1"/>
  <c r="AP205" i="23"/>
  <c r="AP206" i="23" s="1"/>
  <c r="BA208" i="23"/>
  <c r="BA209" i="23" s="1"/>
  <c r="AW196" i="23"/>
  <c r="AW197" i="23" s="1"/>
  <c r="AP202" i="23"/>
  <c r="AP203" i="23" s="1"/>
  <c r="BE205" i="23"/>
  <c r="BE206" i="23" s="1"/>
  <c r="BG196" i="23"/>
  <c r="BG197" i="23" s="1"/>
  <c r="AR208" i="23"/>
  <c r="AR209" i="23" s="1"/>
  <c r="BG199" i="23"/>
  <c r="BG200" i="23" s="1"/>
  <c r="AN196" i="23"/>
  <c r="AN197" i="23" s="1"/>
  <c r="BG205" i="23"/>
  <c r="BG206" i="23" s="1"/>
  <c r="V27" i="23"/>
  <c r="AU208" i="23"/>
  <c r="AU209" i="23" s="1"/>
  <c r="AL205" i="23"/>
  <c r="BI199" i="23"/>
  <c r="BI200" i="23" s="1"/>
  <c r="AU196" i="23"/>
  <c r="AU197" i="23" s="1"/>
  <c r="BI205" i="23"/>
  <c r="BI206" i="23" s="1"/>
  <c r="BE208" i="23"/>
  <c r="BE209" i="23" s="1"/>
  <c r="AN205" i="23"/>
  <c r="AN206" i="23" s="1"/>
  <c r="AW208" i="23"/>
  <c r="AW209" i="23" s="1"/>
  <c r="BA196" i="23"/>
  <c r="BA197" i="23" s="1"/>
  <c r="AW202" i="23"/>
  <c r="AW203" i="23" s="1"/>
  <c r="BG208" i="23"/>
  <c r="BG209" i="23" s="1"/>
  <c r="AN202" i="23"/>
  <c r="AN203" i="23" s="1"/>
  <c r="BC208" i="23"/>
  <c r="BC209" i="23" s="1"/>
  <c r="AR196" i="23"/>
  <c r="AR197" i="23" s="1"/>
  <c r="BC205" i="23"/>
  <c r="BC206" i="23" s="1"/>
  <c r="BA59" i="46"/>
  <c r="AS59" i="46"/>
  <c r="BI59" i="46"/>
  <c r="BE59" i="46"/>
  <c r="BC59" i="46"/>
  <c r="AW59" i="46"/>
  <c r="AY59" i="46"/>
  <c r="BG59" i="46"/>
  <c r="AP199" i="23"/>
  <c r="AP200" i="23" s="1"/>
  <c r="AR199" i="23"/>
  <c r="AR200" i="23" s="1"/>
  <c r="AW15" i="46"/>
  <c r="BA15" i="46"/>
  <c r="AY15" i="46"/>
  <c r="BG15" i="46"/>
  <c r="AS15" i="46"/>
  <c r="BI15" i="46"/>
  <c r="BE15" i="46"/>
  <c r="BC15" i="46"/>
  <c r="BG83" i="46"/>
  <c r="BA83" i="46"/>
  <c r="BC83" i="46"/>
  <c r="AY83" i="46"/>
  <c r="AS83" i="46"/>
  <c r="BI83" i="46"/>
  <c r="BE83" i="46"/>
  <c r="AW83" i="46"/>
  <c r="AS69" i="46"/>
  <c r="BE69" i="46"/>
  <c r="BG69" i="46"/>
  <c r="AY69" i="46"/>
  <c r="AW69" i="46"/>
  <c r="BC69" i="46"/>
  <c r="BA69" i="46"/>
  <c r="BI69" i="46"/>
  <c r="AL196" i="23"/>
  <c r="BC77" i="46"/>
  <c r="AY77" i="46"/>
  <c r="BG77" i="46"/>
  <c r="AW77" i="46"/>
  <c r="BE77" i="46"/>
  <c r="BA77" i="46"/>
  <c r="BI77" i="46"/>
  <c r="AS77" i="46"/>
  <c r="AW14" i="46"/>
  <c r="BE14" i="46"/>
  <c r="AS14" i="46"/>
  <c r="AY14" i="46"/>
  <c r="BI14" i="46"/>
  <c r="BC14" i="46"/>
  <c r="BA14" i="46"/>
  <c r="BG14" i="46"/>
  <c r="J11" i="44"/>
  <c r="AY208" i="23"/>
  <c r="AY209" i="23" s="1"/>
  <c r="BE196" i="23"/>
  <c r="BE197" i="23" s="1"/>
  <c r="BI202" i="23"/>
  <c r="BI203" i="23" s="1"/>
  <c r="AP208" i="23"/>
  <c r="AP209" i="23" s="1"/>
  <c r="AP196" i="23"/>
  <c r="AP197" i="23" s="1"/>
  <c r="AN199" i="23"/>
  <c r="AN200" i="23" s="1"/>
  <c r="AS98" i="46"/>
  <c r="AW98" i="46"/>
  <c r="BI98" i="46"/>
  <c r="BG98" i="46"/>
  <c r="BE98" i="46"/>
  <c r="AY98" i="46"/>
  <c r="BA98" i="46"/>
  <c r="BC98" i="46"/>
  <c r="AW45" i="46"/>
  <c r="BA45" i="46"/>
  <c r="BG45" i="46"/>
  <c r="AS45" i="46"/>
  <c r="BI45" i="46"/>
  <c r="BC45" i="46"/>
  <c r="AY45" i="46"/>
  <c r="BE45" i="46"/>
  <c r="AW60" i="46"/>
  <c r="AY60" i="46"/>
  <c r="AS60" i="46"/>
  <c r="BI60" i="46"/>
  <c r="BA60" i="46"/>
  <c r="BG60" i="46"/>
  <c r="BE60" i="46"/>
  <c r="BC60" i="46"/>
  <c r="AW205" i="23"/>
  <c r="AW206" i="23" s="1"/>
  <c r="AS10" i="46"/>
  <c r="BE10" i="46"/>
  <c r="BC10" i="46"/>
  <c r="BG10" i="46"/>
  <c r="AY10" i="46"/>
  <c r="AW10" i="46"/>
  <c r="BA10" i="46"/>
  <c r="BI10" i="46"/>
  <c r="J13" i="44"/>
  <c r="AL208" i="23"/>
  <c r="BA31" i="46"/>
  <c r="BE31" i="46"/>
  <c r="BG31" i="46"/>
  <c r="AW31" i="46"/>
  <c r="BI31" i="46"/>
  <c r="BC31" i="46"/>
  <c r="AY31" i="46"/>
  <c r="AS31" i="46"/>
  <c r="N97" i="46"/>
  <c r="AG98" i="46"/>
  <c r="AG113" i="46"/>
  <c r="L80" i="46"/>
  <c r="AJ80" i="46"/>
  <c r="AG92" i="46"/>
  <c r="N92" i="46"/>
  <c r="AJ116" i="46"/>
  <c r="L116" i="46"/>
  <c r="M116" i="46"/>
  <c r="AG116" i="46" s="1"/>
  <c r="N85" i="46"/>
  <c r="AG103" i="46"/>
  <c r="N102" i="46"/>
  <c r="AJ107" i="46"/>
  <c r="L107" i="46"/>
  <c r="N77" i="46"/>
  <c r="AG77" i="46"/>
  <c r="L118" i="46"/>
  <c r="AJ118" i="46"/>
  <c r="AJ98" i="46"/>
  <c r="L98" i="46"/>
  <c r="AG107" i="46"/>
  <c r="N107" i="46"/>
  <c r="L81" i="46"/>
  <c r="AJ81" i="46"/>
  <c r="L77" i="46"/>
  <c r="AJ77" i="46"/>
  <c r="X34" i="46"/>
  <c r="AI14" i="35" l="1"/>
  <c r="N14" i="35"/>
  <c r="AB14" i="35"/>
  <c r="U14" i="35"/>
  <c r="N123" i="46"/>
  <c r="N110" i="46"/>
  <c r="N45" i="44"/>
  <c r="F28" i="46"/>
  <c r="N28" i="46"/>
  <c r="W28" i="46"/>
  <c r="D28" i="46" s="1"/>
  <c r="O28" i="46"/>
  <c r="M62" i="46"/>
  <c r="N66" i="46"/>
  <c r="O66" i="46"/>
  <c r="M137" i="23"/>
  <c r="E66" i="46"/>
  <c r="AI66" i="46"/>
  <c r="L66" i="46" s="1"/>
  <c r="G40" i="44"/>
  <c r="W127" i="44"/>
  <c r="W103" i="44"/>
  <c r="W79" i="44"/>
  <c r="W55" i="44"/>
  <c r="W130" i="44"/>
  <c r="W82" i="44"/>
  <c r="W109" i="44"/>
  <c r="W61" i="44"/>
  <c r="W128" i="44"/>
  <c r="W80" i="44"/>
  <c r="X37" i="44"/>
  <c r="W126" i="44"/>
  <c r="W102" i="44"/>
  <c r="W78" i="44"/>
  <c r="W54" i="44"/>
  <c r="W121" i="44"/>
  <c r="W73" i="44"/>
  <c r="W124" i="44"/>
  <c r="W100" i="44"/>
  <c r="W76" i="44"/>
  <c r="W52" i="44"/>
  <c r="W106" i="44"/>
  <c r="W45" i="44"/>
  <c r="W93" i="44"/>
  <c r="W58" i="44"/>
  <c r="W120" i="44"/>
  <c r="W72" i="44"/>
  <c r="W123" i="44"/>
  <c r="W99" i="44"/>
  <c r="W75" i="44"/>
  <c r="W51" i="44"/>
  <c r="W113" i="44"/>
  <c r="W65" i="44"/>
  <c r="W119" i="44"/>
  <c r="W95" i="44"/>
  <c r="W71" i="44"/>
  <c r="W47" i="44"/>
  <c r="W101" i="44"/>
  <c r="W125" i="44"/>
  <c r="W77" i="44"/>
  <c r="W53" i="44"/>
  <c r="W112" i="44"/>
  <c r="W64" i="44"/>
  <c r="W57" i="44"/>
  <c r="W118" i="44"/>
  <c r="W94" i="44"/>
  <c r="W70" i="44"/>
  <c r="W46" i="44"/>
  <c r="W105" i="44"/>
  <c r="W49" i="44"/>
  <c r="W140" i="44"/>
  <c r="W116" i="44"/>
  <c r="W92" i="44"/>
  <c r="W68" i="44"/>
  <c r="W44" i="44"/>
  <c r="W98" i="44"/>
  <c r="W122" i="44"/>
  <c r="W74" i="44"/>
  <c r="W50" i="44"/>
  <c r="W104" i="44"/>
  <c r="W56" i="44"/>
  <c r="W139" i="44"/>
  <c r="W115" i="44"/>
  <c r="W91" i="44"/>
  <c r="W67" i="44"/>
  <c r="W43" i="44"/>
  <c r="W97" i="44"/>
  <c r="W135" i="44"/>
  <c r="W111" i="44"/>
  <c r="W87" i="44"/>
  <c r="W63" i="44"/>
  <c r="W138" i="44"/>
  <c r="W90" i="44"/>
  <c r="W117" i="44"/>
  <c r="W69" i="44"/>
  <c r="W42" i="44"/>
  <c r="W96" i="44"/>
  <c r="W48" i="44"/>
  <c r="W134" i="44"/>
  <c r="W110" i="44"/>
  <c r="W86" i="44"/>
  <c r="W62" i="44"/>
  <c r="W137" i="44"/>
  <c r="W89" i="44"/>
  <c r="W132" i="44"/>
  <c r="W108" i="44"/>
  <c r="W84" i="44"/>
  <c r="W60" i="44"/>
  <c r="W133" i="44"/>
  <c r="W85" i="44"/>
  <c r="W114" i="44"/>
  <c r="W66" i="44"/>
  <c r="W136" i="44"/>
  <c r="W88" i="44"/>
  <c r="W41" i="44"/>
  <c r="W131" i="44"/>
  <c r="W107" i="44"/>
  <c r="W83" i="44"/>
  <c r="W59" i="44"/>
  <c r="W129" i="44"/>
  <c r="W81" i="44"/>
  <c r="I43" i="29"/>
  <c r="V143" i="44"/>
  <c r="D13" i="44" s="1"/>
  <c r="V144" i="44"/>
  <c r="D14" i="44" s="1"/>
  <c r="V141" i="44"/>
  <c r="D11" i="44" s="1"/>
  <c r="V145" i="44"/>
  <c r="D15" i="44" s="1"/>
  <c r="V142" i="44"/>
  <c r="D12" i="44" s="1"/>
  <c r="V146" i="44"/>
  <c r="D16" i="44" s="1"/>
  <c r="E67" i="46"/>
  <c r="AI67" i="46"/>
  <c r="Q67" i="46"/>
  <c r="L43" i="40"/>
  <c r="AH3" i="32"/>
  <c r="AH46" i="32" s="1"/>
  <c r="AC3" i="32"/>
  <c r="AC38" i="32" s="1"/>
  <c r="AF3" i="32"/>
  <c r="AF33" i="32" s="1"/>
  <c r="AD3" i="32"/>
  <c r="AD17" i="32" s="1"/>
  <c r="AG3" i="32"/>
  <c r="AI3" i="32"/>
  <c r="Z3" i="32"/>
  <c r="AB3" i="32"/>
  <c r="AA3" i="32"/>
  <c r="Y50" i="32"/>
  <c r="Y21" i="32"/>
  <c r="Y15" i="32"/>
  <c r="Y33" i="32"/>
  <c r="Y7" i="32"/>
  <c r="Y51" i="32"/>
  <c r="Y48" i="32"/>
  <c r="Y41" i="32"/>
  <c r="Y16" i="32"/>
  <c r="Y30" i="32"/>
  <c r="Y6" i="32"/>
  <c r="Y55" i="32"/>
  <c r="Y61" i="32"/>
  <c r="Y20" i="32"/>
  <c r="Y31" i="32"/>
  <c r="Y25" i="32"/>
  <c r="Y18" i="32"/>
  <c r="Y62" i="32"/>
  <c r="Y45" i="32"/>
  <c r="Y34" i="32"/>
  <c r="Y27" i="32"/>
  <c r="Y5" i="32"/>
  <c r="Y13" i="32"/>
  <c r="Y36" i="32"/>
  <c r="Y63" i="32"/>
  <c r="Y14" i="32"/>
  <c r="Y12" i="32"/>
  <c r="Y22" i="32"/>
  <c r="Y39" i="32"/>
  <c r="Y49" i="32"/>
  <c r="Y10" i="32"/>
  <c r="Y19" i="32"/>
  <c r="Y53" i="32"/>
  <c r="Y44" i="32"/>
  <c r="Y24" i="32"/>
  <c r="Y46" i="32"/>
  <c r="Y57" i="32"/>
  <c r="Y64" i="32"/>
  <c r="Y11" i="32"/>
  <c r="Y35" i="32"/>
  <c r="Y28" i="32"/>
  <c r="Y17" i="32"/>
  <c r="Y38" i="32"/>
  <c r="Y60" i="32"/>
  <c r="Y58" i="32"/>
  <c r="Y40" i="32"/>
  <c r="Y23" i="32"/>
  <c r="Y32" i="32"/>
  <c r="Y52" i="32"/>
  <c r="Y37" i="32"/>
  <c r="Y26" i="32"/>
  <c r="Y56" i="32"/>
  <c r="Y54" i="32"/>
  <c r="Y47" i="32"/>
  <c r="Y9" i="32"/>
  <c r="Y42" i="32"/>
  <c r="Y29" i="32"/>
  <c r="Y59" i="32"/>
  <c r="Y43" i="32"/>
  <c r="Y8" i="32"/>
  <c r="AE3" i="32"/>
  <c r="AB206" i="23"/>
  <c r="F209" i="23" s="1"/>
  <c r="R209" i="23"/>
  <c r="V206" i="23"/>
  <c r="T197" i="23"/>
  <c r="X197" i="23"/>
  <c r="AB209" i="23"/>
  <c r="X203" i="23"/>
  <c r="X206" i="23"/>
  <c r="Z206" i="23"/>
  <c r="N206" i="23"/>
  <c r="V200" i="23"/>
  <c r="P200" i="23"/>
  <c r="H203" i="23"/>
  <c r="P203" i="23"/>
  <c r="T206" i="23"/>
  <c r="P209" i="23"/>
  <c r="AB203" i="23"/>
  <c r="F206" i="23" s="1"/>
  <c r="AI46" i="46"/>
  <c r="M46" i="46" s="1"/>
  <c r="AG46" i="46" s="1"/>
  <c r="AD264" i="23"/>
  <c r="AI264" i="23" s="1"/>
  <c r="J261" i="23" s="1"/>
  <c r="AJ37" i="23" s="1"/>
  <c r="B37" i="23" s="1"/>
  <c r="H22" i="50" s="1"/>
  <c r="I22" i="50" s="1"/>
  <c r="J22" i="50" s="1"/>
  <c r="AA252" i="23"/>
  <c r="AI252" i="23" s="1"/>
  <c r="B134" i="46"/>
  <c r="J222" i="23"/>
  <c r="AA251" i="23" s="1"/>
  <c r="AI251" i="23" s="1"/>
  <c r="AI43" i="46"/>
  <c r="AJ43" i="46" s="1"/>
  <c r="AI52" i="46"/>
  <c r="M52" i="46" s="1"/>
  <c r="AG52" i="46" s="1"/>
  <c r="AI48" i="46"/>
  <c r="AJ48" i="46" s="1"/>
  <c r="AI49" i="46"/>
  <c r="L49" i="46" s="1"/>
  <c r="AI45" i="46"/>
  <c r="AJ45" i="46" s="1"/>
  <c r="D51" i="46"/>
  <c r="D50" i="46"/>
  <c r="Q40" i="46"/>
  <c r="N40" i="46" s="1"/>
  <c r="W40" i="46"/>
  <c r="D47" i="46"/>
  <c r="AG14" i="35"/>
  <c r="S14" i="35"/>
  <c r="AO8" i="35"/>
  <c r="AO5" i="35"/>
  <c r="AO6" i="35" s="1"/>
  <c r="D61" i="46"/>
  <c r="AI61" i="46"/>
  <c r="D68" i="46"/>
  <c r="AI68" i="46"/>
  <c r="D58" i="46"/>
  <c r="AI58" i="46"/>
  <c r="Z203" i="23"/>
  <c r="D57" i="46"/>
  <c r="AI57" i="46"/>
  <c r="D60" i="46"/>
  <c r="AI60" i="46"/>
  <c r="D59" i="46"/>
  <c r="AI59" i="46"/>
  <c r="L64" i="46"/>
  <c r="M64" i="46"/>
  <c r="R197" i="23"/>
  <c r="R206" i="23"/>
  <c r="E38" i="46"/>
  <c r="AI38" i="46"/>
  <c r="X200" i="23"/>
  <c r="J34" i="46"/>
  <c r="AI34" i="46" s="1"/>
  <c r="AJ34" i="46" s="1"/>
  <c r="AJ50" i="46"/>
  <c r="L50" i="46"/>
  <c r="M50" i="46"/>
  <c r="AG50" i="46" s="1"/>
  <c r="AJ47" i="46"/>
  <c r="L47" i="46"/>
  <c r="M47" i="46"/>
  <c r="AG47" i="46" s="1"/>
  <c r="M51" i="46"/>
  <c r="AG51" i="46" s="1"/>
  <c r="AJ51" i="46"/>
  <c r="L51" i="46"/>
  <c r="M44" i="46"/>
  <c r="AG44" i="46" s="1"/>
  <c r="L44" i="46"/>
  <c r="AJ44" i="46"/>
  <c r="AB200" i="23"/>
  <c r="F203" i="23" s="1"/>
  <c r="L206" i="23"/>
  <c r="Z197" i="23"/>
  <c r="L203" i="23"/>
  <c r="F197" i="23"/>
  <c r="R203" i="23"/>
  <c r="V209" i="23"/>
  <c r="P197" i="23"/>
  <c r="Z200" i="23"/>
  <c r="N209" i="23"/>
  <c r="N197" i="23"/>
  <c r="N203" i="23"/>
  <c r="J150" i="23"/>
  <c r="AJ29" i="23" s="1"/>
  <c r="B29" i="23" s="1"/>
  <c r="I63" i="23"/>
  <c r="L197" i="23"/>
  <c r="J206" i="23"/>
  <c r="T209" i="23"/>
  <c r="H200" i="23"/>
  <c r="H209" i="23"/>
  <c r="J197" i="23"/>
  <c r="L200" i="23"/>
  <c r="T203" i="23"/>
  <c r="T200" i="23"/>
  <c r="J200" i="23"/>
  <c r="H206" i="23"/>
  <c r="R200" i="23"/>
  <c r="V203" i="23"/>
  <c r="P206" i="23"/>
  <c r="J209" i="23"/>
  <c r="Z209" i="23"/>
  <c r="L209" i="23"/>
  <c r="X209" i="23"/>
  <c r="J203" i="23"/>
  <c r="H197" i="23"/>
  <c r="N200" i="23"/>
  <c r="V197" i="23"/>
  <c r="AB197" i="23"/>
  <c r="F200" i="23" s="1"/>
  <c r="R39" i="46"/>
  <c r="C30" i="46"/>
  <c r="F31" i="46"/>
  <c r="D156" i="46" s="1"/>
  <c r="R27" i="46"/>
  <c r="Q29" i="46"/>
  <c r="B20" i="46"/>
  <c r="R33" i="46"/>
  <c r="Q33" i="46" s="1"/>
  <c r="D25" i="40"/>
  <c r="AJ14" i="35"/>
  <c r="AC14" i="35"/>
  <c r="V14" i="35"/>
  <c r="AI5" i="45"/>
  <c r="AI107" i="45"/>
  <c r="AJ4" i="45"/>
  <c r="AK14" i="45" s="1"/>
  <c r="AI6" i="45"/>
  <c r="O14" i="35"/>
  <c r="AJ205" i="23"/>
  <c r="AD205" i="23"/>
  <c r="AL206" i="23"/>
  <c r="AJ206" i="23" s="1"/>
  <c r="AX111" i="46"/>
  <c r="AX16" i="46"/>
  <c r="AX61" i="46"/>
  <c r="AX97" i="46"/>
  <c r="AX58" i="46"/>
  <c r="AX107" i="46"/>
  <c r="AX12" i="46"/>
  <c r="AX24" i="46"/>
  <c r="AX94" i="46"/>
  <c r="AX87" i="46"/>
  <c r="AX93" i="46"/>
  <c r="AX104" i="46"/>
  <c r="AX36" i="46"/>
  <c r="AX46" i="46"/>
  <c r="AX60" i="46"/>
  <c r="AX108" i="46"/>
  <c r="AX92" i="46"/>
  <c r="AX41" i="46"/>
  <c r="AX65" i="46"/>
  <c r="AX51" i="46"/>
  <c r="AX26" i="46"/>
  <c r="AX28" i="46"/>
  <c r="AX10" i="46"/>
  <c r="AX43" i="46"/>
  <c r="AX31" i="46"/>
  <c r="AX80" i="46"/>
  <c r="AX62" i="46"/>
  <c r="AX13" i="46"/>
  <c r="AX49" i="46"/>
  <c r="AX66" i="46"/>
  <c r="AX91" i="46"/>
  <c r="AX73" i="46"/>
  <c r="AX75" i="46"/>
  <c r="AX42" i="46"/>
  <c r="AX86" i="46"/>
  <c r="AX69" i="46"/>
  <c r="AX59" i="46"/>
  <c r="AX47" i="46"/>
  <c r="AX88" i="46"/>
  <c r="AX30" i="46"/>
  <c r="AX89" i="46"/>
  <c r="AX11" i="46"/>
  <c r="AX90" i="46"/>
  <c r="AX17" i="46"/>
  <c r="AX38" i="46"/>
  <c r="AX64" i="46"/>
  <c r="AX103" i="46"/>
  <c r="AX83" i="46"/>
  <c r="AX105" i="46"/>
  <c r="AX9" i="46"/>
  <c r="AX74" i="46"/>
  <c r="AX81" i="46"/>
  <c r="AX96" i="46"/>
  <c r="AX39" i="46"/>
  <c r="AX109" i="46"/>
  <c r="AX68" i="46"/>
  <c r="AX76" i="46"/>
  <c r="AX78" i="46"/>
  <c r="AX63" i="46"/>
  <c r="AX19" i="46"/>
  <c r="AX85" i="46"/>
  <c r="AX44" i="46"/>
  <c r="AX70" i="46"/>
  <c r="AX67" i="46"/>
  <c r="AX40" i="46"/>
  <c r="AX32" i="46"/>
  <c r="AX71" i="46"/>
  <c r="AX15" i="46"/>
  <c r="AX106" i="46"/>
  <c r="AX52" i="46"/>
  <c r="AX48" i="46"/>
  <c r="AX18" i="46"/>
  <c r="AX50" i="46"/>
  <c r="AX45" i="46"/>
  <c r="AX22" i="46"/>
  <c r="AX100" i="46"/>
  <c r="AX79" i="46"/>
  <c r="AX35" i="46"/>
  <c r="AX29" i="46"/>
  <c r="AX34" i="46"/>
  <c r="AX77" i="46"/>
  <c r="AX84" i="46"/>
  <c r="AX25" i="46"/>
  <c r="AX20" i="46"/>
  <c r="AX98" i="46"/>
  <c r="AX101" i="46"/>
  <c r="AX21" i="46"/>
  <c r="AX110" i="46"/>
  <c r="AX23" i="46"/>
  <c r="AX14" i="46"/>
  <c r="AX102" i="46"/>
  <c r="AX72" i="46"/>
  <c r="AX8" i="46"/>
  <c r="AX37" i="46"/>
  <c r="AX99" i="46"/>
  <c r="AX82" i="46"/>
  <c r="AX95" i="46"/>
  <c r="AX33" i="46"/>
  <c r="AX27" i="46"/>
  <c r="AX57" i="46"/>
  <c r="AD196" i="23"/>
  <c r="AJ196" i="23"/>
  <c r="AL197" i="23"/>
  <c r="AJ197" i="23" s="1"/>
  <c r="AD199" i="23"/>
  <c r="AJ199" i="23"/>
  <c r="AL200" i="23"/>
  <c r="AJ200" i="23" s="1"/>
  <c r="AO16" i="35"/>
  <c r="AO13" i="35"/>
  <c r="AO14" i="35" s="1"/>
  <c r="AZ106" i="46"/>
  <c r="AZ33" i="46"/>
  <c r="AZ15" i="46"/>
  <c r="AZ73" i="46"/>
  <c r="AZ19" i="46"/>
  <c r="AZ67" i="46"/>
  <c r="AZ93" i="46"/>
  <c r="AZ109" i="46"/>
  <c r="AZ82" i="46"/>
  <c r="AZ57" i="46"/>
  <c r="AZ41" i="46"/>
  <c r="AZ11" i="46"/>
  <c r="AZ101" i="46"/>
  <c r="AZ32" i="46"/>
  <c r="AZ108" i="46"/>
  <c r="AZ100" i="46"/>
  <c r="AZ99" i="46"/>
  <c r="AZ72" i="46"/>
  <c r="AZ95" i="46"/>
  <c r="AZ48" i="46"/>
  <c r="AZ34" i="46"/>
  <c r="AZ76" i="46"/>
  <c r="AZ83" i="46"/>
  <c r="AZ36" i="46"/>
  <c r="AZ43" i="46"/>
  <c r="AZ105" i="46"/>
  <c r="AZ40" i="46"/>
  <c r="AZ98" i="46"/>
  <c r="AZ58" i="46"/>
  <c r="AZ61" i="46"/>
  <c r="AZ74" i="46"/>
  <c r="AZ102" i="46"/>
  <c r="AZ20" i="46"/>
  <c r="AZ42" i="46"/>
  <c r="AZ28" i="46"/>
  <c r="AZ69" i="46"/>
  <c r="AZ103" i="46"/>
  <c r="AZ35" i="46"/>
  <c r="AZ104" i="46"/>
  <c r="AZ12" i="46"/>
  <c r="AZ10" i="46"/>
  <c r="AZ18" i="46"/>
  <c r="AZ77" i="46"/>
  <c r="AZ50" i="46"/>
  <c r="AZ8" i="46"/>
  <c r="AZ91" i="46"/>
  <c r="AZ65" i="46"/>
  <c r="AZ44" i="46"/>
  <c r="AZ96" i="46"/>
  <c r="AZ27" i="46"/>
  <c r="AZ26" i="46"/>
  <c r="AZ97" i="46"/>
  <c r="AZ60" i="46"/>
  <c r="AZ38" i="46"/>
  <c r="AZ64" i="46"/>
  <c r="AZ24" i="46"/>
  <c r="AZ63" i="46"/>
  <c r="AZ85" i="46"/>
  <c r="AZ25" i="46"/>
  <c r="AZ107" i="46"/>
  <c r="AZ13" i="46"/>
  <c r="AZ81" i="46"/>
  <c r="AZ78" i="46"/>
  <c r="AZ94" i="46"/>
  <c r="AZ16" i="46"/>
  <c r="AZ39" i="46"/>
  <c r="AZ52" i="46"/>
  <c r="AZ17" i="46"/>
  <c r="AZ87" i="46"/>
  <c r="AZ46" i="46"/>
  <c r="AZ59" i="46"/>
  <c r="AZ49" i="46"/>
  <c r="AZ68" i="46"/>
  <c r="AZ92" i="46"/>
  <c r="AZ37" i="46"/>
  <c r="AZ71" i="46"/>
  <c r="AZ111" i="46"/>
  <c r="AZ62" i="46"/>
  <c r="AZ30" i="46"/>
  <c r="AZ14" i="46"/>
  <c r="AZ9" i="46"/>
  <c r="AZ66" i="46"/>
  <c r="AZ70" i="46"/>
  <c r="AZ47" i="46"/>
  <c r="AZ84" i="46"/>
  <c r="AZ80" i="46"/>
  <c r="AZ75" i="46"/>
  <c r="AZ89" i="46"/>
  <c r="AZ31" i="46"/>
  <c r="AZ51" i="46"/>
  <c r="AZ23" i="46"/>
  <c r="AZ86" i="46"/>
  <c r="AZ90" i="46"/>
  <c r="AZ110" i="46"/>
  <c r="AZ79" i="46"/>
  <c r="AZ29" i="46"/>
  <c r="AZ45" i="46"/>
  <c r="AZ88" i="46"/>
  <c r="AZ21" i="46"/>
  <c r="AZ22" i="46"/>
  <c r="U58" i="46"/>
  <c r="AC115" i="46"/>
  <c r="AC71" i="46"/>
  <c r="AE63" i="46"/>
  <c r="AE98" i="46"/>
  <c r="AC93" i="46"/>
  <c r="AE71" i="46"/>
  <c r="W71" i="46" s="1"/>
  <c r="AF86" i="46"/>
  <c r="AC62" i="46"/>
  <c r="AE120" i="46"/>
  <c r="U70" i="46"/>
  <c r="AD70" i="46" s="1"/>
  <c r="AE114" i="46"/>
  <c r="AF121" i="46"/>
  <c r="U64" i="46"/>
  <c r="AE108" i="46"/>
  <c r="U50" i="46"/>
  <c r="AC116" i="46"/>
  <c r="AF99" i="46"/>
  <c r="U71" i="46"/>
  <c r="AD71" i="46" s="1"/>
  <c r="AC109" i="46"/>
  <c r="U121" i="46"/>
  <c r="AE107" i="46"/>
  <c r="U68" i="46"/>
  <c r="AC96" i="46"/>
  <c r="AE121" i="46"/>
  <c r="AF87" i="46"/>
  <c r="AC107" i="46"/>
  <c r="AE57" i="46"/>
  <c r="U36" i="46"/>
  <c r="AD36" i="46" s="1"/>
  <c r="AE88" i="46"/>
  <c r="AC120" i="46"/>
  <c r="AF94" i="46"/>
  <c r="U78" i="46"/>
  <c r="AF100" i="46"/>
  <c r="AF83" i="46"/>
  <c r="U57" i="46"/>
  <c r="U51" i="46"/>
  <c r="AF70" i="46"/>
  <c r="AE67" i="46"/>
  <c r="U103" i="46"/>
  <c r="U59" i="46"/>
  <c r="AE45" i="46"/>
  <c r="U93" i="46"/>
  <c r="AE86" i="46"/>
  <c r="U66" i="46"/>
  <c r="AC86" i="46"/>
  <c r="AE62" i="46"/>
  <c r="AC51" i="46"/>
  <c r="AC84" i="46"/>
  <c r="AF95" i="46"/>
  <c r="AC72" i="46"/>
  <c r="U73" i="46"/>
  <c r="AD73" i="46" s="1"/>
  <c r="AC58" i="46"/>
  <c r="AF119" i="46"/>
  <c r="AC77" i="46"/>
  <c r="U96" i="46"/>
  <c r="AE50" i="46"/>
  <c r="U109" i="46"/>
  <c r="AF77" i="46"/>
  <c r="U107" i="46"/>
  <c r="AC98" i="46"/>
  <c r="AC29" i="46"/>
  <c r="U43" i="46"/>
  <c r="AE78" i="46"/>
  <c r="AC45" i="46"/>
  <c r="AE110" i="46"/>
  <c r="AC112" i="46"/>
  <c r="AE84" i="46"/>
  <c r="U114" i="46"/>
  <c r="AE113" i="46"/>
  <c r="U88" i="46"/>
  <c r="U80" i="46"/>
  <c r="AE94" i="46"/>
  <c r="AF90" i="46"/>
  <c r="U61" i="46"/>
  <c r="U118" i="46"/>
  <c r="AE122" i="46"/>
  <c r="U112" i="46"/>
  <c r="U95" i="46"/>
  <c r="AC59" i="46"/>
  <c r="AE109" i="46"/>
  <c r="AE81" i="46"/>
  <c r="U106" i="46"/>
  <c r="AE70" i="46"/>
  <c r="W70" i="46" s="1"/>
  <c r="AF112" i="46"/>
  <c r="U108" i="46"/>
  <c r="AC110" i="46"/>
  <c r="AE51" i="46"/>
  <c r="U116" i="46"/>
  <c r="AF97" i="46"/>
  <c r="AF67" i="46"/>
  <c r="AE80" i="46"/>
  <c r="AC113" i="46"/>
  <c r="AC30" i="46"/>
  <c r="AE26" i="46"/>
  <c r="AE87" i="46"/>
  <c r="AC88" i="46"/>
  <c r="AF73" i="46"/>
  <c r="AE47" i="46"/>
  <c r="AE96" i="46"/>
  <c r="U33" i="46"/>
  <c r="AE89" i="46"/>
  <c r="AC121" i="46"/>
  <c r="U44" i="46"/>
  <c r="U84" i="46"/>
  <c r="AC26" i="46"/>
  <c r="AE33" i="46"/>
  <c r="U82" i="46"/>
  <c r="AF115" i="46"/>
  <c r="AC63" i="46"/>
  <c r="AC97" i="46"/>
  <c r="U91" i="46"/>
  <c r="U62" i="46"/>
  <c r="AC89" i="46"/>
  <c r="AF102" i="46"/>
  <c r="AC111" i="46"/>
  <c r="AE68" i="46"/>
  <c r="AE100" i="46"/>
  <c r="AF109" i="46"/>
  <c r="AF71" i="46"/>
  <c r="AF101" i="46"/>
  <c r="AC47" i="46"/>
  <c r="AC108" i="46"/>
  <c r="U90" i="46"/>
  <c r="AE48" i="46"/>
  <c r="U72" i="46"/>
  <c r="AD72" i="46" s="1"/>
  <c r="U120" i="46"/>
  <c r="AC44" i="46"/>
  <c r="U85" i="46"/>
  <c r="AC114" i="46"/>
  <c r="U52" i="46"/>
  <c r="U119" i="46"/>
  <c r="AC102" i="46"/>
  <c r="AE69" i="46"/>
  <c r="W69" i="46" s="1"/>
  <c r="AE95" i="46"/>
  <c r="U30" i="46"/>
  <c r="AD30" i="46" s="1"/>
  <c r="U94" i="46"/>
  <c r="AF85" i="46"/>
  <c r="U67" i="46"/>
  <c r="AC43" i="46"/>
  <c r="AC106" i="46"/>
  <c r="AF39" i="46"/>
  <c r="U102" i="46"/>
  <c r="AC94" i="46"/>
  <c r="U38" i="46"/>
  <c r="AE52" i="46"/>
  <c r="AF84" i="46"/>
  <c r="AC95" i="46"/>
  <c r="U29" i="46"/>
  <c r="AD29" i="46" s="1"/>
  <c r="AE64" i="46"/>
  <c r="AE58" i="46"/>
  <c r="AC101" i="46"/>
  <c r="AE42" i="46"/>
  <c r="U101" i="46"/>
  <c r="AE103" i="46"/>
  <c r="AC50" i="46"/>
  <c r="AF118" i="46"/>
  <c r="AE29" i="46"/>
  <c r="R30" i="46" s="1"/>
  <c r="Q30" i="46" s="1"/>
  <c r="AE77" i="46"/>
  <c r="AC99" i="46"/>
  <c r="AC68" i="46"/>
  <c r="U77" i="46"/>
  <c r="AE111" i="46"/>
  <c r="U99" i="46"/>
  <c r="AF69" i="46"/>
  <c r="AF79" i="46"/>
  <c r="AC52" i="46"/>
  <c r="AC83" i="46"/>
  <c r="AE73" i="46"/>
  <c r="W73" i="46" s="1"/>
  <c r="AE79" i="46"/>
  <c r="U100" i="46"/>
  <c r="AE82" i="46"/>
  <c r="AE102" i="46"/>
  <c r="AE59" i="46"/>
  <c r="AF98" i="46"/>
  <c r="AE104" i="46"/>
  <c r="AF116" i="46"/>
  <c r="U89" i="46"/>
  <c r="U48" i="46"/>
  <c r="AF80" i="46"/>
  <c r="AF104" i="46"/>
  <c r="AE43" i="46"/>
  <c r="AE118" i="46"/>
  <c r="U115" i="46"/>
  <c r="AF105" i="46"/>
  <c r="AE99" i="46"/>
  <c r="AC78" i="46"/>
  <c r="AC104" i="46"/>
  <c r="AE66" i="46"/>
  <c r="U98" i="46"/>
  <c r="AC61" i="46"/>
  <c r="AC100" i="46"/>
  <c r="U86" i="46"/>
  <c r="AE37" i="46"/>
  <c r="W36" i="46" s="1"/>
  <c r="AF108" i="46"/>
  <c r="AC119" i="46"/>
  <c r="U69" i="46"/>
  <c r="AD69" i="46" s="1"/>
  <c r="AF113" i="46"/>
  <c r="U97" i="46"/>
  <c r="AF117" i="46"/>
  <c r="AE117" i="46"/>
  <c r="AE49" i="46"/>
  <c r="AE93" i="46"/>
  <c r="AC33" i="46"/>
  <c r="AE30" i="46"/>
  <c r="R29" i="46" s="1"/>
  <c r="AF122" i="46"/>
  <c r="AF111" i="46"/>
  <c r="U105" i="46"/>
  <c r="U81" i="46"/>
  <c r="AC60" i="46"/>
  <c r="AE91" i="46"/>
  <c r="AE119" i="46"/>
  <c r="AE61" i="46"/>
  <c r="AE116" i="46"/>
  <c r="AF91" i="46"/>
  <c r="AC48" i="46"/>
  <c r="AC81" i="46"/>
  <c r="AC92" i="46"/>
  <c r="U111" i="46"/>
  <c r="AC82" i="46"/>
  <c r="AF107" i="46"/>
  <c r="U45" i="46"/>
  <c r="AE83" i="46"/>
  <c r="U110" i="46"/>
  <c r="AC69" i="46"/>
  <c r="U92" i="46"/>
  <c r="AE106" i="46"/>
  <c r="AC79" i="46"/>
  <c r="AE90" i="46"/>
  <c r="AE46" i="46"/>
  <c r="U37" i="46"/>
  <c r="AD37" i="46" s="1"/>
  <c r="AF93" i="46"/>
  <c r="AE112" i="46"/>
  <c r="AC37" i="46"/>
  <c r="AF120" i="46"/>
  <c r="AE92" i="46"/>
  <c r="AE34" i="46"/>
  <c r="AC91" i="46"/>
  <c r="U79" i="46"/>
  <c r="AF78" i="46"/>
  <c r="U104" i="46"/>
  <c r="AE115" i="46"/>
  <c r="AE101" i="46"/>
  <c r="AC105" i="46"/>
  <c r="AF88" i="46"/>
  <c r="AE85" i="46"/>
  <c r="AF82" i="46"/>
  <c r="AE39" i="46"/>
  <c r="AC64" i="46"/>
  <c r="AC36" i="46"/>
  <c r="U26" i="46"/>
  <c r="AC73" i="46"/>
  <c r="AF72" i="46"/>
  <c r="U113" i="46"/>
  <c r="AC117" i="46"/>
  <c r="U60" i="46"/>
  <c r="AC80" i="46"/>
  <c r="U39" i="46"/>
  <c r="AF92" i="46"/>
  <c r="U49" i="46"/>
  <c r="AC85" i="46"/>
  <c r="AE72" i="46"/>
  <c r="W72" i="46" s="1"/>
  <c r="AE97" i="46"/>
  <c r="AE38" i="46"/>
  <c r="AC57" i="46"/>
  <c r="AF114" i="46"/>
  <c r="AE44" i="46"/>
  <c r="AF81" i="46"/>
  <c r="AE105" i="46"/>
  <c r="AC90" i="46"/>
  <c r="AE36" i="46"/>
  <c r="AC70" i="46"/>
  <c r="AF106" i="46"/>
  <c r="U83" i="46"/>
  <c r="AF89" i="46"/>
  <c r="AC87" i="46"/>
  <c r="AF96" i="46"/>
  <c r="U46" i="46"/>
  <c r="U63" i="46"/>
  <c r="AE60" i="46"/>
  <c r="AC49" i="46"/>
  <c r="AC103" i="46"/>
  <c r="U87" i="46"/>
  <c r="AC122" i="46"/>
  <c r="U47" i="46"/>
  <c r="U122" i="46"/>
  <c r="AC46" i="46"/>
  <c r="AC118" i="46"/>
  <c r="U117" i="46"/>
  <c r="AF103" i="46"/>
  <c r="AF110" i="46"/>
  <c r="AF38" i="46"/>
  <c r="AC66" i="46"/>
  <c r="AD208" i="23"/>
  <c r="AJ208" i="23"/>
  <c r="AL209" i="23"/>
  <c r="AJ209" i="23" s="1"/>
  <c r="BB84" i="46"/>
  <c r="BB42" i="46"/>
  <c r="BB26" i="46"/>
  <c r="BB27" i="46"/>
  <c r="BB93" i="46"/>
  <c r="BB100" i="46"/>
  <c r="BB71" i="46"/>
  <c r="BB86" i="46"/>
  <c r="BB82" i="46"/>
  <c r="BB35" i="46"/>
  <c r="BB90" i="46"/>
  <c r="BB15" i="46"/>
  <c r="BB17" i="46"/>
  <c r="BB25" i="46"/>
  <c r="BB36" i="46"/>
  <c r="BB68" i="46"/>
  <c r="BB57" i="46"/>
  <c r="BB41" i="46"/>
  <c r="BB44" i="46"/>
  <c r="BB61" i="46"/>
  <c r="BB104" i="46"/>
  <c r="BB50" i="46"/>
  <c r="BB45" i="46"/>
  <c r="BB101" i="46"/>
  <c r="BB11" i="46"/>
  <c r="BB49" i="46"/>
  <c r="BB103" i="46"/>
  <c r="BB98" i="46"/>
  <c r="BB64" i="46"/>
  <c r="BB20" i="46"/>
  <c r="BB47" i="46"/>
  <c r="BB91" i="46"/>
  <c r="BB69" i="46"/>
  <c r="BB88" i="46"/>
  <c r="BB74" i="46"/>
  <c r="BB19" i="46"/>
  <c r="BB23" i="46"/>
  <c r="BB94" i="46"/>
  <c r="BB33" i="46"/>
  <c r="BB65" i="46"/>
  <c r="BB99" i="46"/>
  <c r="BB37" i="46"/>
  <c r="BB109" i="46"/>
  <c r="BB16" i="46"/>
  <c r="BB32" i="46"/>
  <c r="BB60" i="46"/>
  <c r="BB18" i="46"/>
  <c r="BB59" i="46"/>
  <c r="BB70" i="46"/>
  <c r="BB80" i="46"/>
  <c r="BB13" i="46"/>
  <c r="BB39" i="46"/>
  <c r="BB51" i="46"/>
  <c r="BB30" i="46"/>
  <c r="BB31" i="46"/>
  <c r="BB77" i="46"/>
  <c r="BB92" i="46"/>
  <c r="BB40" i="46"/>
  <c r="BB75" i="46"/>
  <c r="BB96" i="46"/>
  <c r="BB72" i="46"/>
  <c r="BB62" i="46"/>
  <c r="BB12" i="46"/>
  <c r="BB76" i="46"/>
  <c r="BB83" i="46"/>
  <c r="BB46" i="46"/>
  <c r="BB9" i="46"/>
  <c r="BB8" i="46"/>
  <c r="BB111" i="46"/>
  <c r="BB81" i="46"/>
  <c r="BB108" i="46"/>
  <c r="BB28" i="46"/>
  <c r="BB87" i="46"/>
  <c r="BB95" i="46"/>
  <c r="BB58" i="46"/>
  <c r="BB48" i="46"/>
  <c r="BB67" i="46"/>
  <c r="BB34" i="46"/>
  <c r="BB52" i="46"/>
  <c r="BB24" i="46"/>
  <c r="BB78" i="46"/>
  <c r="BB22" i="46"/>
  <c r="BB110" i="46"/>
  <c r="BB105" i="46"/>
  <c r="BB66" i="46"/>
  <c r="BB102" i="46"/>
  <c r="BB85" i="46"/>
  <c r="BB38" i="46"/>
  <c r="BB63" i="46"/>
  <c r="BB89" i="46"/>
  <c r="BB29" i="46"/>
  <c r="BB97" i="46"/>
  <c r="BB10" i="46"/>
  <c r="BB43" i="46"/>
  <c r="BB21" i="46"/>
  <c r="BB73" i="46"/>
  <c r="BB106" i="46"/>
  <c r="BB107" i="46"/>
  <c r="BB14" i="46"/>
  <c r="BB79" i="46"/>
  <c r="BF68" i="46"/>
  <c r="BF59" i="46"/>
  <c r="BF80" i="46"/>
  <c r="BF20" i="46"/>
  <c r="BF85" i="46"/>
  <c r="BF67" i="46"/>
  <c r="BF40" i="46"/>
  <c r="BF91" i="46"/>
  <c r="BF26" i="46"/>
  <c r="BF18" i="46"/>
  <c r="BF109" i="46"/>
  <c r="BF24" i="46"/>
  <c r="BF95" i="46"/>
  <c r="BF72" i="46"/>
  <c r="BF65" i="46"/>
  <c r="BF57" i="46"/>
  <c r="BF106" i="46"/>
  <c r="BF101" i="46"/>
  <c r="BF97" i="46"/>
  <c r="BF11" i="46"/>
  <c r="BF41" i="46"/>
  <c r="BF107" i="46"/>
  <c r="BF34" i="46"/>
  <c r="BF100" i="46"/>
  <c r="BF45" i="46"/>
  <c r="BF111" i="46"/>
  <c r="BF75" i="46"/>
  <c r="BF25" i="46"/>
  <c r="BF64" i="46"/>
  <c r="BF38" i="46"/>
  <c r="BF8" i="46"/>
  <c r="BF60" i="46"/>
  <c r="BF14" i="46"/>
  <c r="BF22" i="46"/>
  <c r="BF86" i="46"/>
  <c r="BF27" i="46"/>
  <c r="BF35" i="46"/>
  <c r="BF43" i="46"/>
  <c r="BF48" i="46"/>
  <c r="BF15" i="46"/>
  <c r="BF92" i="46"/>
  <c r="BF12" i="46"/>
  <c r="BF77" i="46"/>
  <c r="BF104" i="46"/>
  <c r="BF50" i="46"/>
  <c r="BF81" i="46"/>
  <c r="BF49" i="46"/>
  <c r="BF62" i="46"/>
  <c r="BF31" i="46"/>
  <c r="BF32" i="46"/>
  <c r="BF87" i="46"/>
  <c r="BF63" i="46"/>
  <c r="BF46" i="46"/>
  <c r="BF70" i="46"/>
  <c r="BF88" i="46"/>
  <c r="BF42" i="46"/>
  <c r="BF36" i="46"/>
  <c r="BF98" i="46"/>
  <c r="BF10" i="46"/>
  <c r="BF39" i="46"/>
  <c r="BF44" i="46"/>
  <c r="BF19" i="46"/>
  <c r="BF83" i="46"/>
  <c r="BF94" i="46"/>
  <c r="BF79" i="46"/>
  <c r="BF17" i="46"/>
  <c r="BF28" i="46"/>
  <c r="BF82" i="46"/>
  <c r="BF16" i="46"/>
  <c r="BF84" i="46"/>
  <c r="BF23" i="46"/>
  <c r="BF93" i="46"/>
  <c r="BF74" i="46"/>
  <c r="BF110" i="46"/>
  <c r="BF71" i="46"/>
  <c r="BF105" i="46"/>
  <c r="BF102" i="46"/>
  <c r="BF61" i="46"/>
  <c r="BF33" i="46"/>
  <c r="BF73" i="46"/>
  <c r="BF47" i="46"/>
  <c r="BF66" i="46"/>
  <c r="BF9" i="46"/>
  <c r="BF21" i="46"/>
  <c r="BF76" i="46"/>
  <c r="BF51" i="46"/>
  <c r="BF108" i="46"/>
  <c r="BF52" i="46"/>
  <c r="BF90" i="46"/>
  <c r="BF30" i="46"/>
  <c r="BF58" i="46"/>
  <c r="BF69" i="46"/>
  <c r="BF29" i="46"/>
  <c r="BF78" i="46"/>
  <c r="BF103" i="46"/>
  <c r="BF99" i="46"/>
  <c r="BF37" i="46"/>
  <c r="BF13" i="46"/>
  <c r="BF89" i="46"/>
  <c r="BF96" i="46"/>
  <c r="AN13" i="35"/>
  <c r="AN14" i="35" s="1"/>
  <c r="AN16" i="35"/>
  <c r="B132" i="46"/>
  <c r="AM13" i="35"/>
  <c r="AM14" i="35" s="1"/>
  <c r="AM16" i="35"/>
  <c r="BJ8" i="46"/>
  <c r="BJ60" i="46"/>
  <c r="BJ64" i="46"/>
  <c r="BJ43" i="46"/>
  <c r="BJ20" i="46"/>
  <c r="BJ16" i="46"/>
  <c r="BJ32" i="46"/>
  <c r="BJ19" i="46"/>
  <c r="BJ44" i="46"/>
  <c r="BJ68" i="46"/>
  <c r="BJ17" i="46"/>
  <c r="BJ62" i="46"/>
  <c r="BJ41" i="46"/>
  <c r="BJ93" i="46"/>
  <c r="BJ78" i="46"/>
  <c r="BJ92" i="46"/>
  <c r="BJ69" i="46"/>
  <c r="BJ12" i="46"/>
  <c r="BJ75" i="46"/>
  <c r="BJ42" i="46"/>
  <c r="BJ23" i="46"/>
  <c r="BJ61" i="46"/>
  <c r="BJ72" i="46"/>
  <c r="BJ111" i="46"/>
  <c r="BJ79" i="46"/>
  <c r="BJ74" i="46"/>
  <c r="BJ87" i="46"/>
  <c r="BJ63" i="46"/>
  <c r="BJ22" i="46"/>
  <c r="BJ31" i="46"/>
  <c r="BJ29" i="46"/>
  <c r="BJ34" i="46"/>
  <c r="BJ35" i="46"/>
  <c r="BJ66" i="46"/>
  <c r="BJ27" i="46"/>
  <c r="BJ98" i="46"/>
  <c r="BJ51" i="46"/>
  <c r="BJ46" i="46"/>
  <c r="BJ86" i="46"/>
  <c r="BJ70" i="46"/>
  <c r="BJ89" i="46"/>
  <c r="BJ103" i="46"/>
  <c r="BJ47" i="46"/>
  <c r="BJ82" i="46"/>
  <c r="BJ100" i="46"/>
  <c r="BJ25" i="46"/>
  <c r="BJ90" i="46"/>
  <c r="BJ94" i="46"/>
  <c r="BJ45" i="46"/>
  <c r="BJ58" i="46"/>
  <c r="BJ10" i="46"/>
  <c r="BJ21" i="46"/>
  <c r="BJ73" i="46"/>
  <c r="BJ39" i="46"/>
  <c r="BJ91" i="46"/>
  <c r="BJ48" i="46"/>
  <c r="BJ36" i="46"/>
  <c r="BJ99" i="46"/>
  <c r="BJ40" i="46"/>
  <c r="BJ50" i="46"/>
  <c r="BJ57" i="46"/>
  <c r="BJ65" i="46"/>
  <c r="BJ95" i="46"/>
  <c r="BJ14" i="46"/>
  <c r="BJ77" i="46"/>
  <c r="BJ76" i="46"/>
  <c r="BJ18" i="46"/>
  <c r="BJ49" i="46"/>
  <c r="BJ80" i="46"/>
  <c r="BJ84" i="46"/>
  <c r="BJ102" i="46"/>
  <c r="BJ52" i="46"/>
  <c r="BJ9" i="46"/>
  <c r="BJ11" i="46"/>
  <c r="BJ15" i="46"/>
  <c r="BJ105" i="46"/>
  <c r="BJ106" i="46"/>
  <c r="BJ85" i="46"/>
  <c r="BJ26" i="46"/>
  <c r="BJ13" i="46"/>
  <c r="BJ101" i="46"/>
  <c r="BJ30" i="46"/>
  <c r="BJ107" i="46"/>
  <c r="BJ81" i="46"/>
  <c r="BJ33" i="46"/>
  <c r="BJ88" i="46"/>
  <c r="BJ104" i="46"/>
  <c r="BJ37" i="46"/>
  <c r="BJ108" i="46"/>
  <c r="BJ24" i="46"/>
  <c r="BJ67" i="46"/>
  <c r="BJ83" i="46"/>
  <c r="BJ97" i="46"/>
  <c r="BJ28" i="46"/>
  <c r="BJ59" i="46"/>
  <c r="BJ109" i="46"/>
  <c r="BJ96" i="46"/>
  <c r="BJ38" i="46"/>
  <c r="BJ71" i="46"/>
  <c r="BJ110" i="46"/>
  <c r="AJ202" i="23"/>
  <c r="AD202" i="23"/>
  <c r="AL203" i="23"/>
  <c r="AJ203" i="23" s="1"/>
  <c r="B130" i="46"/>
  <c r="I130" i="46" s="1"/>
  <c r="N140" i="46" s="1"/>
  <c r="O140" i="46" s="1"/>
  <c r="S26" i="46" s="1"/>
  <c r="O26" i="46" s="1"/>
  <c r="AA167" i="23" s="1"/>
  <c r="B135" i="46"/>
  <c r="B133" i="46"/>
  <c r="BD74" i="46"/>
  <c r="BD67" i="46"/>
  <c r="BD50" i="46"/>
  <c r="BD23" i="46"/>
  <c r="BD86" i="46"/>
  <c r="BD44" i="46"/>
  <c r="BD73" i="46"/>
  <c r="BD82" i="46"/>
  <c r="BD68" i="46"/>
  <c r="BD35" i="46"/>
  <c r="BD18" i="46"/>
  <c r="BD24" i="46"/>
  <c r="BD65" i="46"/>
  <c r="BD107" i="46"/>
  <c r="BD31" i="46"/>
  <c r="BD57" i="46"/>
  <c r="BD108" i="46"/>
  <c r="BD91" i="46"/>
  <c r="BD14" i="46"/>
  <c r="BD88" i="46"/>
  <c r="BD60" i="46"/>
  <c r="BD22" i="46"/>
  <c r="BD63" i="46"/>
  <c r="BD62" i="46"/>
  <c r="BD103" i="46"/>
  <c r="BD17" i="46"/>
  <c r="BD10" i="46"/>
  <c r="BD70" i="46"/>
  <c r="BD21" i="46"/>
  <c r="BD46" i="46"/>
  <c r="BD109" i="46"/>
  <c r="BD66" i="46"/>
  <c r="BD90" i="46"/>
  <c r="BD8" i="46"/>
  <c r="BD69" i="46"/>
  <c r="BD16" i="46"/>
  <c r="BD48" i="46"/>
  <c r="BD47" i="46"/>
  <c r="BD71" i="46"/>
  <c r="BD101" i="46"/>
  <c r="BD87" i="46"/>
  <c r="BD13" i="46"/>
  <c r="BD29" i="46"/>
  <c r="BD78" i="46"/>
  <c r="BD33" i="46"/>
  <c r="BD15" i="46"/>
  <c r="BD81" i="46"/>
  <c r="BD11" i="46"/>
  <c r="BD61" i="46"/>
  <c r="BD79" i="46"/>
  <c r="BD84" i="46"/>
  <c r="BD37" i="46"/>
  <c r="BD93" i="46"/>
  <c r="BD75" i="46"/>
  <c r="BD20" i="46"/>
  <c r="BD85" i="46"/>
  <c r="BD80" i="46"/>
  <c r="BD36" i="46"/>
  <c r="BD39" i="46"/>
  <c r="BD27" i="46"/>
  <c r="BD19" i="46"/>
  <c r="BD45" i="46"/>
  <c r="BD51" i="46"/>
  <c r="BD96" i="46"/>
  <c r="BD95" i="46"/>
  <c r="BD102" i="46"/>
  <c r="BD77" i="46"/>
  <c r="BD100" i="46"/>
  <c r="BD41" i="46"/>
  <c r="BD72" i="46"/>
  <c r="BD76" i="46"/>
  <c r="BD83" i="46"/>
  <c r="BD38" i="46"/>
  <c r="BD12" i="46"/>
  <c r="BD26" i="46"/>
  <c r="BD25" i="46"/>
  <c r="BD111" i="46"/>
  <c r="BD34" i="46"/>
  <c r="BD97" i="46"/>
  <c r="BD42" i="46"/>
  <c r="BD64" i="46"/>
  <c r="BD106" i="46"/>
  <c r="BD98" i="46"/>
  <c r="BD89" i="46"/>
  <c r="BD105" i="46"/>
  <c r="BD9" i="46"/>
  <c r="BD104" i="46"/>
  <c r="BD43" i="46"/>
  <c r="BD110" i="46"/>
  <c r="BD28" i="46"/>
  <c r="BD49" i="46"/>
  <c r="BD52" i="46"/>
  <c r="BD94" i="46"/>
  <c r="BD32" i="46"/>
  <c r="BD30" i="46"/>
  <c r="BD58" i="46"/>
  <c r="BD92" i="46"/>
  <c r="BD99" i="46"/>
  <c r="BD40" i="46"/>
  <c r="BD59" i="46"/>
  <c r="BH10" i="46"/>
  <c r="BH74" i="46"/>
  <c r="BH37" i="46"/>
  <c r="BH58" i="46"/>
  <c r="BH81" i="46"/>
  <c r="BH69" i="46"/>
  <c r="BH29" i="46"/>
  <c r="BH82" i="46"/>
  <c r="BH12" i="46"/>
  <c r="BH61" i="46"/>
  <c r="BH94" i="46"/>
  <c r="BH60" i="46"/>
  <c r="BH67" i="46"/>
  <c r="BH26" i="46"/>
  <c r="BH34" i="46"/>
  <c r="BH15" i="46"/>
  <c r="BH68" i="46"/>
  <c r="BH98" i="46"/>
  <c r="BH92" i="46"/>
  <c r="BH41" i="46"/>
  <c r="BH32" i="46"/>
  <c r="BH93" i="46"/>
  <c r="BH8" i="46"/>
  <c r="BH42" i="46"/>
  <c r="BH27" i="46"/>
  <c r="BH80" i="46"/>
  <c r="BH11" i="46"/>
  <c r="BH79" i="46"/>
  <c r="BH88" i="46"/>
  <c r="BH48" i="46"/>
  <c r="BH103" i="46"/>
  <c r="BH35" i="46"/>
  <c r="BH14" i="46"/>
  <c r="BH110" i="46"/>
  <c r="BH111" i="46"/>
  <c r="BH22" i="46"/>
  <c r="BH73" i="46"/>
  <c r="BH17" i="46"/>
  <c r="BH86" i="46"/>
  <c r="BH104" i="46"/>
  <c r="BH64" i="46"/>
  <c r="BH91" i="46"/>
  <c r="BH39" i="46"/>
  <c r="BH109" i="46"/>
  <c r="BH72" i="46"/>
  <c r="BH77" i="46"/>
  <c r="BH33" i="46"/>
  <c r="BH30" i="46"/>
  <c r="BH62" i="46"/>
  <c r="BH78" i="46"/>
  <c r="BH83" i="46"/>
  <c r="BH101" i="46"/>
  <c r="BH100" i="46"/>
  <c r="BH59" i="46"/>
  <c r="BH66" i="46"/>
  <c r="BH108" i="46"/>
  <c r="BH21" i="46"/>
  <c r="BH106" i="46"/>
  <c r="BH99" i="46"/>
  <c r="BH45" i="46"/>
  <c r="BH18" i="46"/>
  <c r="BH20" i="46"/>
  <c r="BH85" i="46"/>
  <c r="BH51" i="46"/>
  <c r="BH9" i="46"/>
  <c r="BH50" i="46"/>
  <c r="BH107" i="46"/>
  <c r="BH36" i="46"/>
  <c r="BH105" i="46"/>
  <c r="BH71" i="46"/>
  <c r="BH19" i="46"/>
  <c r="BH76" i="46"/>
  <c r="BH89" i="46"/>
  <c r="BH52" i="46"/>
  <c r="BH47" i="46"/>
  <c r="BH40" i="46"/>
  <c r="BH44" i="46"/>
  <c r="BH46" i="46"/>
  <c r="BH16" i="46"/>
  <c r="BH87" i="46"/>
  <c r="BH49" i="46"/>
  <c r="BH23" i="46"/>
  <c r="BH43" i="46"/>
  <c r="BH96" i="46"/>
  <c r="BH13" i="46"/>
  <c r="BH97" i="46"/>
  <c r="BH75" i="46"/>
  <c r="BH57" i="46"/>
  <c r="BH38" i="46"/>
  <c r="BH95" i="46"/>
  <c r="BH31" i="46"/>
  <c r="BH84" i="46"/>
  <c r="BH28" i="46"/>
  <c r="BH70" i="46"/>
  <c r="BH25" i="46"/>
  <c r="BH24" i="46"/>
  <c r="BH102" i="46"/>
  <c r="BH65" i="46"/>
  <c r="BH90" i="46"/>
  <c r="BH63" i="46"/>
  <c r="AN5" i="35"/>
  <c r="AN6" i="35" s="1"/>
  <c r="AN8" i="35"/>
  <c r="AI304" i="23"/>
  <c r="AA300" i="23" s="1"/>
  <c r="AI300" i="23" s="1"/>
  <c r="J296" i="23" s="1"/>
  <c r="N113" i="46"/>
  <c r="X115" i="46"/>
  <c r="X36" i="46"/>
  <c r="X103" i="46"/>
  <c r="X102" i="46"/>
  <c r="X98" i="46"/>
  <c r="X111" i="46"/>
  <c r="X117" i="46"/>
  <c r="X46" i="46"/>
  <c r="X81" i="46"/>
  <c r="X60" i="46"/>
  <c r="X64" i="46"/>
  <c r="X114" i="46"/>
  <c r="X47" i="46"/>
  <c r="X77" i="46"/>
  <c r="X37" i="46"/>
  <c r="X73" i="46"/>
  <c r="X122" i="46"/>
  <c r="X72" i="46"/>
  <c r="X91" i="46"/>
  <c r="X26" i="46"/>
  <c r="X71" i="46"/>
  <c r="X70" i="46"/>
  <c r="X79" i="46"/>
  <c r="X93" i="46"/>
  <c r="X85" i="46"/>
  <c r="X61" i="46"/>
  <c r="X63" i="46"/>
  <c r="X69" i="46"/>
  <c r="X109" i="46"/>
  <c r="X83" i="46"/>
  <c r="X86" i="46"/>
  <c r="X78" i="46"/>
  <c r="X104" i="46"/>
  <c r="X101" i="46"/>
  <c r="X96" i="46"/>
  <c r="X120" i="46"/>
  <c r="X94" i="46"/>
  <c r="X51" i="46"/>
  <c r="X33" i="46"/>
  <c r="X116" i="46"/>
  <c r="X62" i="46"/>
  <c r="X110" i="46"/>
  <c r="X106" i="46"/>
  <c r="X44" i="46"/>
  <c r="X100" i="46"/>
  <c r="X99" i="46"/>
  <c r="X43" i="46"/>
  <c r="X118" i="46"/>
  <c r="X58" i="46"/>
  <c r="X50" i="46"/>
  <c r="X68" i="46"/>
  <c r="X84" i="46"/>
  <c r="X48" i="46"/>
  <c r="X67" i="46"/>
  <c r="X90" i="46"/>
  <c r="X88" i="46"/>
  <c r="X29" i="46"/>
  <c r="X119" i="46"/>
  <c r="X89" i="46"/>
  <c r="X105" i="46"/>
  <c r="X66" i="46"/>
  <c r="X97" i="46"/>
  <c r="X82" i="46"/>
  <c r="X80" i="46"/>
  <c r="X38" i="46"/>
  <c r="X87" i="46"/>
  <c r="X39" i="46"/>
  <c r="X57" i="46"/>
  <c r="X107" i="46"/>
  <c r="X95" i="46"/>
  <c r="X108" i="46"/>
  <c r="X30" i="46"/>
  <c r="X49" i="46"/>
  <c r="X59" i="46"/>
  <c r="X92" i="46"/>
  <c r="X52" i="46"/>
  <c r="X112" i="46"/>
  <c r="X113" i="46"/>
  <c r="X45" i="46"/>
  <c r="X121" i="46"/>
  <c r="M66" i="46" l="1"/>
  <c r="AJ46" i="46"/>
  <c r="N46" i="44"/>
  <c r="J55" i="46"/>
  <c r="AH9" i="32"/>
  <c r="AH38" i="32"/>
  <c r="AH31" i="32"/>
  <c r="AH25" i="32"/>
  <c r="AJ40" i="23"/>
  <c r="B40" i="23" s="1"/>
  <c r="H23" i="50" s="1"/>
  <c r="I23" i="50" s="1"/>
  <c r="J23" i="50" s="1"/>
  <c r="AK68" i="45"/>
  <c r="AK37" i="45"/>
  <c r="AK77" i="45"/>
  <c r="AK102" i="45"/>
  <c r="AK46" i="45"/>
  <c r="AK63" i="45"/>
  <c r="AK62" i="45"/>
  <c r="AK90" i="45"/>
  <c r="AK91" i="45"/>
  <c r="AK19" i="45"/>
  <c r="AK59" i="45"/>
  <c r="AK12" i="45"/>
  <c r="AK28" i="45"/>
  <c r="AK45" i="45"/>
  <c r="AK44" i="45"/>
  <c r="AK60" i="45"/>
  <c r="AK85" i="45"/>
  <c r="AK13" i="45"/>
  <c r="AK53" i="45"/>
  <c r="AK94" i="45"/>
  <c r="AK22" i="45"/>
  <c r="AK27" i="45"/>
  <c r="AK26" i="45"/>
  <c r="AK101" i="45"/>
  <c r="AK73" i="45"/>
  <c r="AK66" i="45"/>
  <c r="AK41" i="45"/>
  <c r="AK82" i="45"/>
  <c r="AK10" i="45"/>
  <c r="AK9" i="45"/>
  <c r="AK8" i="45"/>
  <c r="AK98" i="45"/>
  <c r="AK55" i="45"/>
  <c r="AK95" i="45"/>
  <c r="AK23" i="45"/>
  <c r="AK64" i="45"/>
  <c r="AK18" i="45"/>
  <c r="AK24" i="45"/>
  <c r="AK86" i="45"/>
  <c r="AK49" i="45"/>
  <c r="AK89" i="45"/>
  <c r="AK17" i="45"/>
  <c r="AK58" i="45"/>
  <c r="AK81" i="45"/>
  <c r="AK104" i="45"/>
  <c r="AK105" i="45"/>
  <c r="AK103" i="45"/>
  <c r="AK67" i="45"/>
  <c r="AK31" i="45"/>
  <c r="AK36" i="45"/>
  <c r="AK71" i="45"/>
  <c r="AK35" i="45"/>
  <c r="AK72" i="45"/>
  <c r="AK76" i="45"/>
  <c r="AK40" i="45"/>
  <c r="AK78" i="45"/>
  <c r="AK75" i="45"/>
  <c r="AK39" i="45"/>
  <c r="AK84" i="45"/>
  <c r="AK92" i="45"/>
  <c r="AK38" i="45"/>
  <c r="AK87" i="45"/>
  <c r="AK97" i="45"/>
  <c r="AK61" i="45"/>
  <c r="AK25" i="45"/>
  <c r="AK7" i="45"/>
  <c r="AK65" i="45"/>
  <c r="AK29" i="45"/>
  <c r="AK42" i="45"/>
  <c r="AK70" i="45"/>
  <c r="AK34" i="45"/>
  <c r="AK48" i="45"/>
  <c r="AK69" i="45"/>
  <c r="AK33" i="45"/>
  <c r="AK54" i="45"/>
  <c r="AK80" i="45"/>
  <c r="AK32" i="45"/>
  <c r="AK100" i="45"/>
  <c r="AK57" i="45"/>
  <c r="AK21" i="45"/>
  <c r="AK106" i="45"/>
  <c r="AK56" i="45"/>
  <c r="AK20" i="45"/>
  <c r="AK30" i="45"/>
  <c r="AK74" i="45"/>
  <c r="AK79" i="45"/>
  <c r="AK43" i="45"/>
  <c r="AK96" i="45"/>
  <c r="AK83" i="45"/>
  <c r="AK47" i="45"/>
  <c r="AK11" i="45"/>
  <c r="AK88" i="45"/>
  <c r="AK52" i="45"/>
  <c r="AK16" i="45"/>
  <c r="AK93" i="45"/>
  <c r="AK51" i="45"/>
  <c r="AK15" i="45"/>
  <c r="AK99" i="45"/>
  <c r="AK50" i="45"/>
  <c r="H136" i="23"/>
  <c r="I47" i="29"/>
  <c r="W145" i="44"/>
  <c r="W146" i="44"/>
  <c r="W144" i="44"/>
  <c r="W142" i="44"/>
  <c r="W141" i="44"/>
  <c r="W143" i="44"/>
  <c r="X139" i="44"/>
  <c r="X127" i="44"/>
  <c r="X115" i="44"/>
  <c r="X103" i="44"/>
  <c r="X91" i="44"/>
  <c r="X79" i="44"/>
  <c r="X67" i="44"/>
  <c r="X55" i="44"/>
  <c r="X43" i="44"/>
  <c r="X98" i="44"/>
  <c r="X50" i="44"/>
  <c r="X72" i="44"/>
  <c r="X88" i="44"/>
  <c r="X134" i="44"/>
  <c r="X110" i="44"/>
  <c r="X86" i="44"/>
  <c r="X62" i="44"/>
  <c r="X41" i="44"/>
  <c r="X137" i="44"/>
  <c r="X125" i="44"/>
  <c r="X113" i="44"/>
  <c r="X101" i="44"/>
  <c r="X89" i="44"/>
  <c r="X77" i="44"/>
  <c r="X65" i="44"/>
  <c r="X53" i="44"/>
  <c r="X138" i="44"/>
  <c r="X90" i="44"/>
  <c r="X42" i="44"/>
  <c r="X56" i="44"/>
  <c r="X64" i="44"/>
  <c r="X132" i="44"/>
  <c r="X108" i="44"/>
  <c r="X84" i="44"/>
  <c r="X54" i="44"/>
  <c r="X135" i="44"/>
  <c r="X123" i="44"/>
  <c r="X111" i="44"/>
  <c r="X99" i="44"/>
  <c r="X87" i="44"/>
  <c r="X75" i="44"/>
  <c r="X63" i="44"/>
  <c r="X51" i="44"/>
  <c r="X130" i="44"/>
  <c r="X82" i="44"/>
  <c r="X136" i="44"/>
  <c r="X48" i="44"/>
  <c r="X60" i="44"/>
  <c r="X126" i="44"/>
  <c r="X102" i="44"/>
  <c r="X78" i="44"/>
  <c r="X46" i="44"/>
  <c r="X133" i="44"/>
  <c r="X121" i="44"/>
  <c r="X109" i="44"/>
  <c r="X97" i="44"/>
  <c r="X85" i="44"/>
  <c r="X73" i="44"/>
  <c r="X61" i="44"/>
  <c r="X49" i="44"/>
  <c r="X122" i="44"/>
  <c r="X74" i="44"/>
  <c r="X128" i="44"/>
  <c r="X112" i="44"/>
  <c r="X52" i="44"/>
  <c r="X124" i="44"/>
  <c r="X100" i="44"/>
  <c r="X76" i="44"/>
  <c r="X131" i="44"/>
  <c r="X119" i="44"/>
  <c r="X107" i="44"/>
  <c r="X95" i="44"/>
  <c r="X83" i="44"/>
  <c r="X71" i="44"/>
  <c r="X59" i="44"/>
  <c r="X47" i="44"/>
  <c r="X114" i="44"/>
  <c r="X66" i="44"/>
  <c r="X120" i="44"/>
  <c r="X104" i="44"/>
  <c r="X44" i="44"/>
  <c r="X118" i="44"/>
  <c r="X94" i="44"/>
  <c r="X70" i="44"/>
  <c r="X129" i="44"/>
  <c r="X117" i="44"/>
  <c r="X105" i="44"/>
  <c r="X93" i="44"/>
  <c r="X81" i="44"/>
  <c r="X69" i="44"/>
  <c r="X57" i="44"/>
  <c r="X45" i="44"/>
  <c r="X106" i="44"/>
  <c r="X58" i="44"/>
  <c r="X80" i="44"/>
  <c r="X96" i="44"/>
  <c r="X140" i="44"/>
  <c r="X116" i="44"/>
  <c r="X92" i="44"/>
  <c r="X68" i="44"/>
  <c r="N67" i="46"/>
  <c r="O67" i="46"/>
  <c r="AJ67" i="46"/>
  <c r="M67" i="46"/>
  <c r="AG67" i="46" s="1"/>
  <c r="L67" i="46"/>
  <c r="AH52" i="32"/>
  <c r="AD31" i="32"/>
  <c r="AH16" i="32"/>
  <c r="AD14" i="32"/>
  <c r="AH60" i="32"/>
  <c r="AD39" i="32"/>
  <c r="AH64" i="32"/>
  <c r="AD37" i="32"/>
  <c r="AH49" i="32"/>
  <c r="AH59" i="32"/>
  <c r="AD9" i="32"/>
  <c r="AH41" i="32"/>
  <c r="AH29" i="32"/>
  <c r="AD51" i="32"/>
  <c r="AF8" i="32"/>
  <c r="AF40" i="32"/>
  <c r="AH17" i="32"/>
  <c r="AH35" i="32"/>
  <c r="AD58" i="32"/>
  <c r="AD34" i="32"/>
  <c r="AF41" i="32"/>
  <c r="AF53" i="32"/>
  <c r="AF20" i="32"/>
  <c r="AF47" i="32"/>
  <c r="AF31" i="32"/>
  <c r="AF51" i="32"/>
  <c r="AH62" i="32"/>
  <c r="AH6" i="32"/>
  <c r="AD59" i="32"/>
  <c r="AD23" i="32"/>
  <c r="AF45" i="32"/>
  <c r="AF39" i="32"/>
  <c r="AH40" i="32"/>
  <c r="AH47" i="32"/>
  <c r="AH34" i="32"/>
  <c r="AD16" i="32"/>
  <c r="AD49" i="32"/>
  <c r="AD48" i="32"/>
  <c r="AF61" i="32"/>
  <c r="AC32" i="32"/>
  <c r="AH13" i="32"/>
  <c r="AH14" i="32"/>
  <c r="AH44" i="32"/>
  <c r="AH15" i="32"/>
  <c r="AH58" i="32"/>
  <c r="AD26" i="32"/>
  <c r="AD61" i="32"/>
  <c r="AD5" i="32"/>
  <c r="AD55" i="32"/>
  <c r="AF63" i="32"/>
  <c r="AF58" i="32"/>
  <c r="AC41" i="32"/>
  <c r="AH42" i="32"/>
  <c r="AH36" i="32"/>
  <c r="AH27" i="32"/>
  <c r="AH54" i="32"/>
  <c r="AH10" i="32"/>
  <c r="AD13" i="32"/>
  <c r="AD45" i="32"/>
  <c r="AD64" i="32"/>
  <c r="AF42" i="32"/>
  <c r="AF19" i="32"/>
  <c r="AF25" i="32"/>
  <c r="AC25" i="32"/>
  <c r="AH24" i="32"/>
  <c r="AH33" i="32"/>
  <c r="AH56" i="32"/>
  <c r="AH32" i="32"/>
  <c r="AH50" i="32"/>
  <c r="AH19" i="32"/>
  <c r="AD60" i="32"/>
  <c r="AD40" i="32"/>
  <c r="AD43" i="32"/>
  <c r="AD12" i="32"/>
  <c r="AF21" i="32"/>
  <c r="AF5" i="32"/>
  <c r="AF62" i="32"/>
  <c r="AC47" i="32"/>
  <c r="AH43" i="32"/>
  <c r="AH45" i="32"/>
  <c r="AH26" i="32"/>
  <c r="AH53" i="32"/>
  <c r="AH5" i="32"/>
  <c r="AH23" i="32"/>
  <c r="AH61" i="32"/>
  <c r="AD38" i="32"/>
  <c r="AD62" i="32"/>
  <c r="AD57" i="32"/>
  <c r="AD11" i="32"/>
  <c r="AD47" i="32"/>
  <c r="AF9" i="32"/>
  <c r="AF34" i="32"/>
  <c r="AF35" i="32"/>
  <c r="AF29" i="32"/>
  <c r="AC43" i="32"/>
  <c r="AF28" i="32"/>
  <c r="AF17" i="32"/>
  <c r="AF55" i="32"/>
  <c r="AF13" i="32"/>
  <c r="AF27" i="32"/>
  <c r="AF38" i="32"/>
  <c r="AC61" i="32"/>
  <c r="AC56" i="32"/>
  <c r="AH21" i="32"/>
  <c r="AH55" i="32"/>
  <c r="AH18" i="32"/>
  <c r="AH63" i="32"/>
  <c r="AH48" i="32"/>
  <c r="AH30" i="32"/>
  <c r="AH12" i="32"/>
  <c r="AH7" i="32"/>
  <c r="AD42" i="32"/>
  <c r="AD6" i="32"/>
  <c r="AD21" i="32"/>
  <c r="AD28" i="32"/>
  <c r="AD53" i="32"/>
  <c r="AD27" i="32"/>
  <c r="AF32" i="32"/>
  <c r="AF57" i="32"/>
  <c r="AF23" i="32"/>
  <c r="AF16" i="32"/>
  <c r="AF11" i="32"/>
  <c r="AF24" i="32"/>
  <c r="AC64" i="32"/>
  <c r="AC11" i="32"/>
  <c r="AC10" i="32"/>
  <c r="AH39" i="32"/>
  <c r="AH20" i="32"/>
  <c r="AH8" i="32"/>
  <c r="AH28" i="32"/>
  <c r="AH51" i="32"/>
  <c r="AH11" i="32"/>
  <c r="AH22" i="32"/>
  <c r="AH57" i="32"/>
  <c r="AH37" i="32"/>
  <c r="AD30" i="32"/>
  <c r="AD36" i="32"/>
  <c r="AD7" i="32"/>
  <c r="AD24" i="32"/>
  <c r="AD63" i="32"/>
  <c r="AD54" i="32"/>
  <c r="AD50" i="32"/>
  <c r="AF26" i="32"/>
  <c r="AF14" i="32"/>
  <c r="AF46" i="32"/>
  <c r="AF60" i="32"/>
  <c r="AF18" i="32"/>
  <c r="AF59" i="32"/>
  <c r="AF50" i="32"/>
  <c r="AC54" i="32"/>
  <c r="AC20" i="32"/>
  <c r="AC31" i="32"/>
  <c r="AD33" i="32"/>
  <c r="AD10" i="32"/>
  <c r="AD20" i="32"/>
  <c r="AD56" i="32"/>
  <c r="AD32" i="32"/>
  <c r="AD18" i="32"/>
  <c r="AD52" i="32"/>
  <c r="AD46" i="32"/>
  <c r="AF49" i="32"/>
  <c r="AF64" i="32"/>
  <c r="AF54" i="32"/>
  <c r="AF56" i="32"/>
  <c r="AF43" i="32"/>
  <c r="AF6" i="32"/>
  <c r="AF7" i="32"/>
  <c r="AF48" i="32"/>
  <c r="AC33" i="32"/>
  <c r="AC34" i="32"/>
  <c r="AC22" i="32"/>
  <c r="AC62" i="32"/>
  <c r="AC26" i="32"/>
  <c r="AC40" i="32"/>
  <c r="AC58" i="32"/>
  <c r="AD25" i="32"/>
  <c r="AD22" i="32"/>
  <c r="AD19" i="32"/>
  <c r="AD44" i="32"/>
  <c r="AD41" i="32"/>
  <c r="AD8" i="32"/>
  <c r="AD35" i="32"/>
  <c r="AD15" i="32"/>
  <c r="AD29" i="32"/>
  <c r="AF30" i="32"/>
  <c r="AF12" i="32"/>
  <c r="AF37" i="32"/>
  <c r="AF22" i="32"/>
  <c r="AF15" i="32"/>
  <c r="AF52" i="32"/>
  <c r="AF44" i="32"/>
  <c r="AF36" i="32"/>
  <c r="AF10" i="32"/>
  <c r="AC9" i="32"/>
  <c r="AC24" i="32"/>
  <c r="AC44" i="32"/>
  <c r="AC45" i="32"/>
  <c r="AC18" i="32"/>
  <c r="AC15" i="32"/>
  <c r="AC7" i="32"/>
  <c r="AC8" i="32"/>
  <c r="AC13" i="32"/>
  <c r="AC60" i="32"/>
  <c r="AC37" i="32"/>
  <c r="AC28" i="32"/>
  <c r="AC19" i="32"/>
  <c r="AC39" i="32"/>
  <c r="AC49" i="32"/>
  <c r="AC48" i="32"/>
  <c r="AC55" i="32"/>
  <c r="AC35" i="32"/>
  <c r="AC6" i="32"/>
  <c r="AC57" i="32"/>
  <c r="AC51" i="32"/>
  <c r="AC27" i="32"/>
  <c r="AC42" i="32"/>
  <c r="AC23" i="32"/>
  <c r="AC17" i="32"/>
  <c r="AC46" i="32"/>
  <c r="AC5" i="32"/>
  <c r="AC30" i="32"/>
  <c r="AC52" i="32"/>
  <c r="AC53" i="32"/>
  <c r="AC12" i="32"/>
  <c r="AC50" i="32"/>
  <c r="AC63" i="32"/>
  <c r="AC16" i="32"/>
  <c r="AC36" i="32"/>
  <c r="AC29" i="32"/>
  <c r="AC21" i="32"/>
  <c r="AC14" i="32"/>
  <c r="AC59" i="32"/>
  <c r="AE46" i="32"/>
  <c r="AE24" i="32"/>
  <c r="AE54" i="32"/>
  <c r="AE32" i="32"/>
  <c r="AE15" i="32"/>
  <c r="AE16" i="32"/>
  <c r="AE22" i="32"/>
  <c r="AE44" i="32"/>
  <c r="AE20" i="32"/>
  <c r="AE12" i="32"/>
  <c r="AE63" i="32"/>
  <c r="AE58" i="32"/>
  <c r="AE55" i="32"/>
  <c r="AE17" i="32"/>
  <c r="AE40" i="32"/>
  <c r="AE36" i="32"/>
  <c r="AE42" i="32"/>
  <c r="AE56" i="32"/>
  <c r="AE38" i="32"/>
  <c r="AE30" i="32"/>
  <c r="AE10" i="32"/>
  <c r="AE21" i="32"/>
  <c r="AE28" i="32"/>
  <c r="AE27" i="32"/>
  <c r="AE26" i="32"/>
  <c r="AE45" i="32"/>
  <c r="AE7" i="32"/>
  <c r="AE57" i="32"/>
  <c r="AE47" i="32"/>
  <c r="AE23" i="32"/>
  <c r="AE35" i="32"/>
  <c r="AE59" i="32"/>
  <c r="AE52" i="32"/>
  <c r="AE31" i="32"/>
  <c r="AE49" i="32"/>
  <c r="AE33" i="32"/>
  <c r="AE62" i="32"/>
  <c r="AE43" i="32"/>
  <c r="AE41" i="32"/>
  <c r="AE19" i="32"/>
  <c r="AE29" i="32"/>
  <c r="AE6" i="32"/>
  <c r="AE39" i="32"/>
  <c r="AE18" i="32"/>
  <c r="AE5" i="32"/>
  <c r="AE13" i="32"/>
  <c r="AE9" i="32"/>
  <c r="AE48" i="32"/>
  <c r="AE34" i="32"/>
  <c r="AE8" i="32"/>
  <c r="AE64" i="32"/>
  <c r="AE53" i="32"/>
  <c r="AE11" i="32"/>
  <c r="AE37" i="32"/>
  <c r="AE14" i="32"/>
  <c r="AE25" i="32"/>
  <c r="AE61" i="32"/>
  <c r="AE51" i="32"/>
  <c r="AE50" i="32"/>
  <c r="AE60" i="32"/>
  <c r="AA22" i="32"/>
  <c r="AA27" i="32"/>
  <c r="AA12" i="32"/>
  <c r="AA23" i="32"/>
  <c r="AA57" i="32"/>
  <c r="AA5" i="32"/>
  <c r="AA50" i="32"/>
  <c r="AA8" i="32"/>
  <c r="AA33" i="32"/>
  <c r="AA36" i="32"/>
  <c r="AA26" i="32"/>
  <c r="AA49" i="32"/>
  <c r="AA63" i="32"/>
  <c r="AA24" i="32"/>
  <c r="AA30" i="32"/>
  <c r="AA61" i="32"/>
  <c r="AA48" i="32"/>
  <c r="AA29" i="32"/>
  <c r="AA6" i="32"/>
  <c r="AA32" i="32"/>
  <c r="AA11" i="32"/>
  <c r="AA41" i="32"/>
  <c r="AA21" i="32"/>
  <c r="AA44" i="32"/>
  <c r="AA42" i="32"/>
  <c r="AA18" i="32"/>
  <c r="AA43" i="32"/>
  <c r="AA35" i="32"/>
  <c r="AA60" i="32"/>
  <c r="AA40" i="32"/>
  <c r="AA15" i="32"/>
  <c r="AA62" i="32"/>
  <c r="AA47" i="32"/>
  <c r="AA20" i="32"/>
  <c r="AA39" i="32"/>
  <c r="AA52" i="32"/>
  <c r="AA64" i="32"/>
  <c r="AA38" i="32"/>
  <c r="AA58" i="32"/>
  <c r="AA7" i="32"/>
  <c r="AA31" i="32"/>
  <c r="AA53" i="32"/>
  <c r="AA17" i="32"/>
  <c r="AA59" i="32"/>
  <c r="AA10" i="32"/>
  <c r="AA34" i="32"/>
  <c r="AA45" i="32"/>
  <c r="AA51" i="32"/>
  <c r="AA46" i="32"/>
  <c r="AA16" i="32"/>
  <c r="AA37" i="32"/>
  <c r="AA28" i="32"/>
  <c r="AA14" i="32"/>
  <c r="AA19" i="32"/>
  <c r="AA56" i="32"/>
  <c r="AA13" i="32"/>
  <c r="AA25" i="32"/>
  <c r="AA54" i="32"/>
  <c r="AA9" i="32"/>
  <c r="AA55" i="32"/>
  <c r="AB40" i="32"/>
  <c r="AB62" i="32"/>
  <c r="AB56" i="32"/>
  <c r="AB55" i="32"/>
  <c r="AB51" i="32"/>
  <c r="AB20" i="32"/>
  <c r="AB11" i="32"/>
  <c r="AB25" i="32"/>
  <c r="AB49" i="32"/>
  <c r="AB45" i="32"/>
  <c r="AB38" i="32"/>
  <c r="AB36" i="32"/>
  <c r="AB32" i="32"/>
  <c r="AB23" i="32"/>
  <c r="AB46" i="32"/>
  <c r="AB42" i="32"/>
  <c r="AB39" i="32"/>
  <c r="AB28" i="32"/>
  <c r="AB17" i="32"/>
  <c r="AB16" i="32"/>
  <c r="AB52" i="32"/>
  <c r="AB19" i="32"/>
  <c r="AB34" i="32"/>
  <c r="AB8" i="32"/>
  <c r="AB26" i="32"/>
  <c r="AB35" i="32"/>
  <c r="AB29" i="32"/>
  <c r="AB10" i="32"/>
  <c r="AB33" i="32"/>
  <c r="AB57" i="32"/>
  <c r="AB12" i="32"/>
  <c r="AB13" i="32"/>
  <c r="AB64" i="32"/>
  <c r="AB31" i="32"/>
  <c r="AB18" i="32"/>
  <c r="AB14" i="32"/>
  <c r="AB53" i="32"/>
  <c r="AB37" i="32"/>
  <c r="AB21" i="32"/>
  <c r="AB61" i="32"/>
  <c r="AB59" i="32"/>
  <c r="AB48" i="32"/>
  <c r="AB60" i="32"/>
  <c r="AB41" i="32"/>
  <c r="AB24" i="32"/>
  <c r="AB63" i="32"/>
  <c r="AB58" i="32"/>
  <c r="AB27" i="32"/>
  <c r="AB54" i="32"/>
  <c r="AB50" i="32"/>
  <c r="AB43" i="32"/>
  <c r="AB22" i="32"/>
  <c r="AB6" i="32"/>
  <c r="AB30" i="32"/>
  <c r="AB47" i="32"/>
  <c r="AB15" i="32"/>
  <c r="AB7" i="32"/>
  <c r="AB9" i="32"/>
  <c r="AB44" i="32"/>
  <c r="AB5" i="32"/>
  <c r="Z63" i="32"/>
  <c r="Z56" i="32"/>
  <c r="Z7" i="32"/>
  <c r="Z15" i="32"/>
  <c r="Z34" i="32"/>
  <c r="Z6" i="32"/>
  <c r="Z19" i="32"/>
  <c r="Z50" i="32"/>
  <c r="Z14" i="32"/>
  <c r="Z31" i="32"/>
  <c r="Z11" i="32"/>
  <c r="Z32" i="32"/>
  <c r="Z12" i="32"/>
  <c r="Z29" i="32"/>
  <c r="Z5" i="32"/>
  <c r="Z33" i="32"/>
  <c r="Z20" i="32"/>
  <c r="Z55" i="32"/>
  <c r="Z21" i="32"/>
  <c r="Z36" i="32"/>
  <c r="Z48" i="32"/>
  <c r="Z45" i="32"/>
  <c r="Z18" i="32"/>
  <c r="Z9" i="32"/>
  <c r="Z27" i="32"/>
  <c r="Z38" i="32"/>
  <c r="Z39" i="32"/>
  <c r="Z35" i="32"/>
  <c r="Z41" i="32"/>
  <c r="Z52" i="32"/>
  <c r="Z8" i="32"/>
  <c r="Z23" i="32"/>
  <c r="Z37" i="32"/>
  <c r="Z17" i="32"/>
  <c r="Z53" i="32"/>
  <c r="Z26" i="32"/>
  <c r="Z51" i="32"/>
  <c r="Z25" i="32"/>
  <c r="Z58" i="32"/>
  <c r="Z57" i="32"/>
  <c r="Z44" i="32"/>
  <c r="Z28" i="32"/>
  <c r="Z47" i="32"/>
  <c r="Z54" i="32"/>
  <c r="Z10" i="32"/>
  <c r="Z40" i="32"/>
  <c r="Z61" i="32"/>
  <c r="Z59" i="32"/>
  <c r="Z42" i="32"/>
  <c r="Z13" i="32"/>
  <c r="Z43" i="32"/>
  <c r="Z22" i="32"/>
  <c r="Z64" i="32"/>
  <c r="Z30" i="32"/>
  <c r="Z60" i="32"/>
  <c r="Z16" i="32"/>
  <c r="Z46" i="32"/>
  <c r="Z62" i="32"/>
  <c r="Z24" i="32"/>
  <c r="Z49" i="32"/>
  <c r="AI59" i="32"/>
  <c r="AI39" i="32"/>
  <c r="AI40" i="32"/>
  <c r="AI53" i="32"/>
  <c r="AI49" i="32"/>
  <c r="AI36" i="32"/>
  <c r="AI45" i="32"/>
  <c r="AI57" i="32"/>
  <c r="AI48" i="32"/>
  <c r="AI60" i="32"/>
  <c r="AI47" i="32"/>
  <c r="AI22" i="32"/>
  <c r="AI20" i="32"/>
  <c r="AI23" i="32"/>
  <c r="AI42" i="32"/>
  <c r="AI52" i="32"/>
  <c r="AI14" i="32"/>
  <c r="AI56" i="32"/>
  <c r="AI61" i="32"/>
  <c r="AI19" i="32"/>
  <c r="AI35" i="32"/>
  <c r="AI6" i="32"/>
  <c r="AI7" i="32"/>
  <c r="AI17" i="32"/>
  <c r="AI54" i="32"/>
  <c r="AI63" i="32"/>
  <c r="AI21" i="32"/>
  <c r="AI8" i="32"/>
  <c r="AI31" i="32"/>
  <c r="AI29" i="32"/>
  <c r="AI12" i="32"/>
  <c r="AI15" i="32"/>
  <c r="AI58" i="32"/>
  <c r="AI43" i="32"/>
  <c r="AI28" i="32"/>
  <c r="AI16" i="32"/>
  <c r="AI30" i="32"/>
  <c r="AI37" i="32"/>
  <c r="AI38" i="32"/>
  <c r="AI18" i="32"/>
  <c r="AI34" i="32"/>
  <c r="AI64" i="32"/>
  <c r="AI5" i="32"/>
  <c r="AI33" i="32"/>
  <c r="AI44" i="32"/>
  <c r="AI11" i="32"/>
  <c r="AI24" i="32"/>
  <c r="AI10" i="32"/>
  <c r="AI13" i="32"/>
  <c r="AI26" i="32"/>
  <c r="AI55" i="32"/>
  <c r="AI27" i="32"/>
  <c r="AI41" i="32"/>
  <c r="AI46" i="32"/>
  <c r="AI51" i="32"/>
  <c r="AI9" i="32"/>
  <c r="AI25" i="32"/>
  <c r="AI32" i="32"/>
  <c r="AI62" i="32"/>
  <c r="AI50" i="32"/>
  <c r="AG45" i="32"/>
  <c r="AG5" i="32"/>
  <c r="AG21" i="32"/>
  <c r="AG33" i="32"/>
  <c r="AG31" i="32"/>
  <c r="AG48" i="32"/>
  <c r="AG46" i="32"/>
  <c r="AG55" i="32"/>
  <c r="AG43" i="32"/>
  <c r="AG27" i="32"/>
  <c r="AG6" i="32"/>
  <c r="AG44" i="32"/>
  <c r="AG25" i="32"/>
  <c r="AG40" i="32"/>
  <c r="AG34" i="32"/>
  <c r="AG22" i="32"/>
  <c r="AG10" i="32"/>
  <c r="AG53" i="32"/>
  <c r="AG57" i="32"/>
  <c r="AG35" i="32"/>
  <c r="AG36" i="32"/>
  <c r="AG42" i="32"/>
  <c r="AG61" i="32"/>
  <c r="AG41" i="32"/>
  <c r="AG18" i="32"/>
  <c r="AG37" i="32"/>
  <c r="AG23" i="32"/>
  <c r="AG39" i="32"/>
  <c r="AG54" i="32"/>
  <c r="AG63" i="32"/>
  <c r="AG32" i="32"/>
  <c r="AG58" i="32"/>
  <c r="AG52" i="32"/>
  <c r="AG9" i="32"/>
  <c r="AG47" i="32"/>
  <c r="AG30" i="32"/>
  <c r="AG56" i="32"/>
  <c r="AG38" i="32"/>
  <c r="AG50" i="32"/>
  <c r="AG19" i="32"/>
  <c r="AG15" i="32"/>
  <c r="AG51" i="32"/>
  <c r="AG7" i="32"/>
  <c r="AG12" i="32"/>
  <c r="AG62" i="32"/>
  <c r="AG64" i="32"/>
  <c r="AG24" i="32"/>
  <c r="AG26" i="32"/>
  <c r="AG29" i="32"/>
  <c r="AG8" i="32"/>
  <c r="AG16" i="32"/>
  <c r="AG11" i="32"/>
  <c r="AG49" i="32"/>
  <c r="AG20" i="32"/>
  <c r="AG59" i="32"/>
  <c r="AG13" i="32"/>
  <c r="AG14" i="32"/>
  <c r="AG60" i="32"/>
  <c r="AG17" i="32"/>
  <c r="AG28" i="32"/>
  <c r="AD209" i="23"/>
  <c r="AF208" i="23" s="1"/>
  <c r="AI208" i="23" s="1"/>
  <c r="W29" i="46"/>
  <c r="AI29" i="46" s="1"/>
  <c r="M43" i="46"/>
  <c r="AG43" i="46" s="1"/>
  <c r="L46" i="46"/>
  <c r="M48" i="46"/>
  <c r="AG48" i="46" s="1"/>
  <c r="J248" i="23"/>
  <c r="AJ36" i="23" s="1"/>
  <c r="B36" i="23" s="1"/>
  <c r="H21" i="50" s="1"/>
  <c r="I21" i="50" s="1"/>
  <c r="J21" i="50" s="1"/>
  <c r="AJ35" i="23"/>
  <c r="B35" i="23" s="1"/>
  <c r="H20" i="50" s="1"/>
  <c r="I20" i="50" s="1"/>
  <c r="J20" i="50" s="1"/>
  <c r="L43" i="46"/>
  <c r="AI167" i="23"/>
  <c r="J153" i="23" s="1"/>
  <c r="AJ30" i="23" s="1"/>
  <c r="B30" i="23" s="1"/>
  <c r="H19" i="50" s="1"/>
  <c r="I19" i="50" s="1"/>
  <c r="J19" i="50" s="1"/>
  <c r="L48" i="46"/>
  <c r="AJ49" i="46"/>
  <c r="AJ52" i="46"/>
  <c r="L52" i="46"/>
  <c r="M49" i="46"/>
  <c r="AG49" i="46" s="1"/>
  <c r="M45" i="46"/>
  <c r="AG45" i="46" s="1"/>
  <c r="L45" i="46"/>
  <c r="I40" i="46"/>
  <c r="F40" i="46"/>
  <c r="E40" i="46"/>
  <c r="M58" i="46"/>
  <c r="L58" i="46"/>
  <c r="M60" i="46"/>
  <c r="L60" i="46"/>
  <c r="L68" i="46"/>
  <c r="M68" i="46"/>
  <c r="M57" i="46"/>
  <c r="L57" i="46"/>
  <c r="M61" i="46"/>
  <c r="L61" i="46"/>
  <c r="M59" i="46"/>
  <c r="L59" i="46"/>
  <c r="AD200" i="23"/>
  <c r="AF199" i="23" s="1"/>
  <c r="AI199" i="23" s="1"/>
  <c r="AD206" i="23"/>
  <c r="AF205" i="23" s="1"/>
  <c r="AI205" i="23" s="1"/>
  <c r="M38" i="46"/>
  <c r="AG38" i="46" s="1"/>
  <c r="L38" i="46"/>
  <c r="AJ38" i="46"/>
  <c r="C16" i="35"/>
  <c r="D16" i="35" s="1"/>
  <c r="H16" i="35" s="1"/>
  <c r="Q27" i="46"/>
  <c r="L149" i="46"/>
  <c r="AD197" i="23"/>
  <c r="AF196" i="23" s="1"/>
  <c r="AI196" i="23" s="1"/>
  <c r="AD191" i="23"/>
  <c r="AI191" i="23" s="1"/>
  <c r="R25" i="40"/>
  <c r="D66" i="40"/>
  <c r="R67" i="40" s="1"/>
  <c r="W33" i="46"/>
  <c r="I33" i="46" s="1"/>
  <c r="N33" i="46"/>
  <c r="Q39" i="46"/>
  <c r="N39" i="46" s="1"/>
  <c r="W39" i="46"/>
  <c r="I39" i="46" s="1"/>
  <c r="N29" i="46"/>
  <c r="AD203" i="23"/>
  <c r="AF202" i="23" s="1"/>
  <c r="AI202" i="23" s="1"/>
  <c r="Y105" i="46"/>
  <c r="Y91" i="46"/>
  <c r="Y99" i="46"/>
  <c r="AJ5" i="45"/>
  <c r="AJ6" i="45"/>
  <c r="AJ107" i="45"/>
  <c r="C17" i="35"/>
  <c r="D17" i="35" s="1"/>
  <c r="F17" i="35" s="1"/>
  <c r="AD92" i="46"/>
  <c r="I92" i="46"/>
  <c r="Y95" i="46"/>
  <c r="I90" i="46"/>
  <c r="AD90" i="46"/>
  <c r="Y30" i="46"/>
  <c r="Y45" i="46"/>
  <c r="I59" i="46"/>
  <c r="AD59" i="46"/>
  <c r="AJ59" i="46"/>
  <c r="AJ68" i="46"/>
  <c r="I68" i="46"/>
  <c r="AD68" i="46"/>
  <c r="D135" i="46"/>
  <c r="D132" i="46"/>
  <c r="D131" i="46"/>
  <c r="D134" i="46"/>
  <c r="D133" i="46"/>
  <c r="I122" i="46"/>
  <c r="AD122" i="46"/>
  <c r="I83" i="46"/>
  <c r="AD83" i="46"/>
  <c r="I72" i="46"/>
  <c r="D72" i="46"/>
  <c r="AI72" i="46"/>
  <c r="I60" i="46"/>
  <c r="AJ60" i="46"/>
  <c r="AD60" i="46"/>
  <c r="Z66" i="46"/>
  <c r="Y82" i="46"/>
  <c r="I105" i="46"/>
  <c r="AD105" i="46"/>
  <c r="Y114" i="46"/>
  <c r="I91" i="46"/>
  <c r="AD91" i="46"/>
  <c r="I106" i="46"/>
  <c r="AD106" i="46"/>
  <c r="Y58" i="46"/>
  <c r="Y26" i="46"/>
  <c r="Y34" i="46"/>
  <c r="Y39" i="46"/>
  <c r="Y67" i="46"/>
  <c r="Y123" i="46"/>
  <c r="Y38" i="46"/>
  <c r="Y40" i="46"/>
  <c r="AD88" i="46"/>
  <c r="I88" i="46"/>
  <c r="Y116" i="46"/>
  <c r="Y117" i="46"/>
  <c r="Y69" i="46"/>
  <c r="AD111" i="46"/>
  <c r="I111" i="46"/>
  <c r="I100" i="46"/>
  <c r="AD100" i="46"/>
  <c r="C132" i="46"/>
  <c r="C135" i="46"/>
  <c r="C133" i="46"/>
  <c r="C134" i="46"/>
  <c r="C131" i="46"/>
  <c r="AD85" i="46"/>
  <c r="I85" i="46"/>
  <c r="Y108" i="46"/>
  <c r="Y97" i="46"/>
  <c r="AD84" i="46"/>
  <c r="I84" i="46"/>
  <c r="Y113" i="46"/>
  <c r="Y110" i="46"/>
  <c r="AD118" i="46"/>
  <c r="I118" i="46"/>
  <c r="AD109" i="46"/>
  <c r="I109" i="46"/>
  <c r="Y86" i="46"/>
  <c r="I103" i="46"/>
  <c r="AD103" i="46"/>
  <c r="I50" i="46"/>
  <c r="AD50" i="46"/>
  <c r="C18" i="35"/>
  <c r="D18" i="35" s="1"/>
  <c r="Y122" i="46"/>
  <c r="I46" i="46"/>
  <c r="AD46" i="46"/>
  <c r="Y70" i="46"/>
  <c r="AD49" i="46"/>
  <c r="I49" i="46"/>
  <c r="AD113" i="46"/>
  <c r="I113" i="46"/>
  <c r="AD110" i="46"/>
  <c r="I110" i="46"/>
  <c r="Y92" i="46"/>
  <c r="I36" i="46"/>
  <c r="E36" i="46"/>
  <c r="AI36" i="46"/>
  <c r="Y104" i="46"/>
  <c r="I99" i="46"/>
  <c r="AD99" i="46"/>
  <c r="W30" i="46"/>
  <c r="N30" i="46"/>
  <c r="Y101" i="46"/>
  <c r="Y43" i="46"/>
  <c r="I69" i="46"/>
  <c r="AI69" i="46"/>
  <c r="D69" i="46"/>
  <c r="Y44" i="46"/>
  <c r="Y47" i="46"/>
  <c r="Y111" i="46"/>
  <c r="Y63" i="46"/>
  <c r="I44" i="46"/>
  <c r="AD44" i="46"/>
  <c r="AD108" i="46"/>
  <c r="I108" i="46"/>
  <c r="I61" i="46"/>
  <c r="AD61" i="46"/>
  <c r="AJ61" i="46"/>
  <c r="I114" i="46"/>
  <c r="AD114" i="46"/>
  <c r="I43" i="46"/>
  <c r="AD43" i="46"/>
  <c r="Y72" i="46"/>
  <c r="AD66" i="46"/>
  <c r="I66" i="46"/>
  <c r="AJ66" i="46"/>
  <c r="AD78" i="46"/>
  <c r="I78" i="46"/>
  <c r="Y107" i="46"/>
  <c r="AD121" i="46"/>
  <c r="I121" i="46"/>
  <c r="Y62" i="46"/>
  <c r="Y71" i="46"/>
  <c r="J188" i="23"/>
  <c r="AJ33" i="23" s="1"/>
  <c r="B33" i="23" s="1"/>
  <c r="H218" i="23"/>
  <c r="Z33" i="23" s="1"/>
  <c r="AD47" i="46"/>
  <c r="I47" i="46"/>
  <c r="Y85" i="46"/>
  <c r="I87" i="46"/>
  <c r="AD87" i="46"/>
  <c r="R37" i="46"/>
  <c r="Q37" i="46" s="1"/>
  <c r="N37" i="46" s="1"/>
  <c r="Y81" i="46"/>
  <c r="I97" i="46"/>
  <c r="AD97" i="46"/>
  <c r="Y78" i="46"/>
  <c r="Y102" i="46"/>
  <c r="Y88" i="46"/>
  <c r="Y59" i="46"/>
  <c r="Y29" i="46"/>
  <c r="AD64" i="46"/>
  <c r="I64" i="46"/>
  <c r="AJ64" i="46"/>
  <c r="Y115" i="46"/>
  <c r="C15" i="35"/>
  <c r="D15" i="35" s="1"/>
  <c r="Y118" i="46"/>
  <c r="Y103" i="46"/>
  <c r="Y87" i="46"/>
  <c r="Y90" i="46"/>
  <c r="AD39" i="46"/>
  <c r="Y73" i="46"/>
  <c r="Y37" i="46"/>
  <c r="Y79" i="46"/>
  <c r="I45" i="46"/>
  <c r="AD45" i="46"/>
  <c r="Y48" i="46"/>
  <c r="Y60" i="46"/>
  <c r="Y100" i="46"/>
  <c r="Y83" i="46"/>
  <c r="I77" i="46"/>
  <c r="AD77" i="46"/>
  <c r="Y50" i="46"/>
  <c r="Y94" i="46"/>
  <c r="I119" i="46"/>
  <c r="AD119" i="46"/>
  <c r="Y89" i="46"/>
  <c r="I82" i="46"/>
  <c r="AD82" i="46"/>
  <c r="I95" i="46"/>
  <c r="AD95" i="46"/>
  <c r="Y112" i="46"/>
  <c r="Y98" i="46"/>
  <c r="Y77" i="46"/>
  <c r="Y84" i="46"/>
  <c r="I93" i="46"/>
  <c r="AD93" i="46"/>
  <c r="I51" i="46"/>
  <c r="AD51" i="46"/>
  <c r="Y120" i="46"/>
  <c r="D71" i="46"/>
  <c r="I71" i="46"/>
  <c r="AI71" i="46"/>
  <c r="I58" i="46"/>
  <c r="AD58" i="46"/>
  <c r="AJ58" i="46"/>
  <c r="C19" i="35"/>
  <c r="D19" i="35" s="1"/>
  <c r="Y119" i="46"/>
  <c r="AD98" i="46"/>
  <c r="I98" i="46"/>
  <c r="AD115" i="46"/>
  <c r="I115" i="46"/>
  <c r="I89" i="46"/>
  <c r="AD89" i="46"/>
  <c r="I101" i="46"/>
  <c r="AD101" i="46"/>
  <c r="E134" i="46"/>
  <c r="E132" i="46"/>
  <c r="E135" i="46"/>
  <c r="E133" i="46"/>
  <c r="E131" i="46"/>
  <c r="AD63" i="46"/>
  <c r="AJ63" i="46"/>
  <c r="I63" i="46"/>
  <c r="Y33" i="46"/>
  <c r="Y64" i="46"/>
  <c r="Y106" i="46"/>
  <c r="I117" i="46"/>
  <c r="AD117" i="46"/>
  <c r="Y57" i="46"/>
  <c r="I104" i="46"/>
  <c r="AD104" i="46"/>
  <c r="I86" i="46"/>
  <c r="AD86" i="46"/>
  <c r="I73" i="46"/>
  <c r="D73" i="46"/>
  <c r="AI73" i="46"/>
  <c r="I38" i="46"/>
  <c r="AD38" i="46"/>
  <c r="I67" i="46"/>
  <c r="AD67" i="46"/>
  <c r="I120" i="46"/>
  <c r="AD120" i="46"/>
  <c r="Y121" i="46"/>
  <c r="I96" i="46"/>
  <c r="AD96" i="46"/>
  <c r="Y109" i="46"/>
  <c r="C6" i="35"/>
  <c r="D6" i="35" s="1"/>
  <c r="F6" i="35" s="1"/>
  <c r="C5" i="35"/>
  <c r="D5" i="35" s="1"/>
  <c r="C7" i="35"/>
  <c r="D7" i="35" s="1"/>
  <c r="F7" i="35" s="1"/>
  <c r="C8" i="35"/>
  <c r="D8" i="35" s="1"/>
  <c r="F8" i="35" s="1"/>
  <c r="C9" i="35"/>
  <c r="D9" i="35" s="1"/>
  <c r="F9" i="35" s="1"/>
  <c r="Y66" i="46"/>
  <c r="Z36" i="46"/>
  <c r="Y36" i="46" s="1"/>
  <c r="Y46" i="46"/>
  <c r="Y49" i="46"/>
  <c r="Y80" i="46"/>
  <c r="AD26" i="46"/>
  <c r="I26" i="46"/>
  <c r="AJ26" i="46"/>
  <c r="I79" i="46"/>
  <c r="AD79" i="46"/>
  <c r="AD81" i="46"/>
  <c r="I81" i="46"/>
  <c r="Y61" i="46"/>
  <c r="I48" i="46"/>
  <c r="AD48" i="46"/>
  <c r="Y52" i="46"/>
  <c r="Y68" i="46"/>
  <c r="AD102" i="46"/>
  <c r="I102" i="46"/>
  <c r="I94" i="46"/>
  <c r="AD94" i="46"/>
  <c r="AD52" i="46"/>
  <c r="I52" i="46"/>
  <c r="AD62" i="46"/>
  <c r="AJ62" i="46"/>
  <c r="I62" i="46"/>
  <c r="AD33" i="46"/>
  <c r="AD116" i="46"/>
  <c r="I116" i="46"/>
  <c r="D70" i="46"/>
  <c r="AI70" i="46"/>
  <c r="I70" i="46"/>
  <c r="AD112" i="46"/>
  <c r="I112" i="46"/>
  <c r="I80" i="46"/>
  <c r="AD80" i="46"/>
  <c r="AD107" i="46"/>
  <c r="I107" i="46"/>
  <c r="Y51" i="46"/>
  <c r="AD57" i="46"/>
  <c r="I57" i="46"/>
  <c r="AJ57" i="46"/>
  <c r="Y96" i="46"/>
  <c r="Y93" i="46"/>
  <c r="X40" i="46"/>
  <c r="F16" i="35" l="1"/>
  <c r="N47" i="44"/>
  <c r="N48" i="44" s="1"/>
  <c r="L153" i="46"/>
  <c r="X146" i="44"/>
  <c r="E16" i="44" s="1"/>
  <c r="X142" i="44"/>
  <c r="E12" i="44" s="1"/>
  <c r="X141" i="44"/>
  <c r="E11" i="44" s="1"/>
  <c r="X145" i="44"/>
  <c r="E15" i="44" s="1"/>
  <c r="X144" i="44"/>
  <c r="E14" i="44" s="1"/>
  <c r="X143" i="44"/>
  <c r="E13" i="44" s="1"/>
  <c r="I51" i="29"/>
  <c r="D29" i="46"/>
  <c r="I29" i="46"/>
  <c r="L152" i="46"/>
  <c r="W28" i="37" s="1"/>
  <c r="W32" i="37" s="1"/>
  <c r="Z23" i="37" s="1"/>
  <c r="AC24" i="37" s="1"/>
  <c r="AE40" i="46"/>
  <c r="J40" i="46"/>
  <c r="AI40" i="46" s="1"/>
  <c r="AJ40" i="46" s="1"/>
  <c r="AK107" i="45"/>
  <c r="G39" i="44" s="1"/>
  <c r="AD192" i="23"/>
  <c r="AI192" i="23" s="1"/>
  <c r="AI188" i="23" s="1"/>
  <c r="AD212" i="23" s="1"/>
  <c r="AI212" i="23" s="1"/>
  <c r="G217" i="23" s="1"/>
  <c r="W37" i="46"/>
  <c r="E37" i="46" s="1"/>
  <c r="H17" i="35"/>
  <c r="J73" i="40"/>
  <c r="I73" i="40"/>
  <c r="F73" i="40"/>
  <c r="L73" i="40"/>
  <c r="M73" i="40"/>
  <c r="D73" i="40"/>
  <c r="G73" i="40"/>
  <c r="K73" i="40"/>
  <c r="E73" i="40"/>
  <c r="N73" i="40"/>
  <c r="H73" i="40"/>
  <c r="F32" i="40"/>
  <c r="J32" i="40"/>
  <c r="M32" i="40"/>
  <c r="N32" i="40"/>
  <c r="K32" i="40"/>
  <c r="I32" i="40"/>
  <c r="G32" i="40"/>
  <c r="E32" i="40"/>
  <c r="L32" i="40"/>
  <c r="R26" i="40"/>
  <c r="O32" i="40" s="1"/>
  <c r="AC32" i="40" s="1"/>
  <c r="H32" i="40"/>
  <c r="D32" i="40"/>
  <c r="AI33" i="46"/>
  <c r="E33" i="46"/>
  <c r="E39" i="46"/>
  <c r="AI39" i="46"/>
  <c r="N27" i="46"/>
  <c r="W27" i="46"/>
  <c r="D27" i="46" s="1"/>
  <c r="F27" i="46"/>
  <c r="I133" i="46"/>
  <c r="I135" i="46"/>
  <c r="N159" i="46" s="1"/>
  <c r="O159" i="46" s="1"/>
  <c r="F15" i="35"/>
  <c r="D20" i="35"/>
  <c r="H15" i="35"/>
  <c r="M36" i="46"/>
  <c r="AJ36" i="46"/>
  <c r="L36" i="46"/>
  <c r="L69" i="46"/>
  <c r="AJ69" i="46"/>
  <c r="M69" i="46"/>
  <c r="D30" i="46"/>
  <c r="AI30" i="46"/>
  <c r="I30" i="46"/>
  <c r="M73" i="46"/>
  <c r="AG73" i="46" s="1"/>
  <c r="L73" i="46"/>
  <c r="AJ73" i="46"/>
  <c r="L71" i="46"/>
  <c r="M71" i="46"/>
  <c r="AG71" i="46" s="1"/>
  <c r="AJ71" i="46"/>
  <c r="I132" i="46"/>
  <c r="F18" i="35"/>
  <c r="H18" i="35"/>
  <c r="M70" i="46"/>
  <c r="AG70" i="46" s="1"/>
  <c r="L70" i="46"/>
  <c r="AJ70" i="46"/>
  <c r="F5" i="35"/>
  <c r="F10" i="35" s="1"/>
  <c r="D10" i="35"/>
  <c r="L29" i="46"/>
  <c r="AJ29" i="46"/>
  <c r="M29" i="46"/>
  <c r="H19" i="35"/>
  <c r="F19" i="35"/>
  <c r="I131" i="46"/>
  <c r="M72" i="46"/>
  <c r="AG72" i="46" s="1"/>
  <c r="L72" i="46"/>
  <c r="AJ72" i="46"/>
  <c r="N49" i="44" l="1"/>
  <c r="N50" i="44" s="1"/>
  <c r="N142" i="46"/>
  <c r="W137" i="23"/>
  <c r="I55" i="29"/>
  <c r="AC5" i="37"/>
  <c r="AA89" i="23" s="1"/>
  <c r="AI89" i="23" s="1"/>
  <c r="F217" i="23"/>
  <c r="AI37" i="46"/>
  <c r="AJ37" i="46" s="1"/>
  <c r="AD217" i="23"/>
  <c r="AI217" i="23" s="1"/>
  <c r="S32" i="40"/>
  <c r="I37" i="46"/>
  <c r="N155" i="46"/>
  <c r="O155" i="46" s="1"/>
  <c r="S34" i="46" s="1"/>
  <c r="X32" i="40"/>
  <c r="U32" i="40"/>
  <c r="T32" i="40"/>
  <c r="P32" i="40"/>
  <c r="D35" i="40" s="1"/>
  <c r="R32" i="40"/>
  <c r="L35" i="40" s="1"/>
  <c r="N35" i="40" s="1"/>
  <c r="W32" i="40"/>
  <c r="L33" i="46"/>
  <c r="M33" i="46"/>
  <c r="AJ33" i="46"/>
  <c r="V32" i="40"/>
  <c r="Y32" i="40"/>
  <c r="Z32" i="40"/>
  <c r="AA32" i="40"/>
  <c r="P73" i="40"/>
  <c r="D76" i="40" s="1"/>
  <c r="AB32" i="40"/>
  <c r="L39" i="46"/>
  <c r="AJ39" i="46"/>
  <c r="M39" i="46"/>
  <c r="H20" i="35"/>
  <c r="F22" i="35" s="1"/>
  <c r="AG69" i="46"/>
  <c r="N69" i="46"/>
  <c r="C11" i="35"/>
  <c r="AA183" i="23" s="1"/>
  <c r="AA182" i="23"/>
  <c r="AI182" i="23" s="1"/>
  <c r="F20" i="35"/>
  <c r="C22" i="35" s="1"/>
  <c r="AJ30" i="46"/>
  <c r="M30" i="46"/>
  <c r="L151" i="46" s="1"/>
  <c r="L30" i="46"/>
  <c r="N51" i="44" l="1"/>
  <c r="N52" i="44" s="1"/>
  <c r="N53" i="44" s="1"/>
  <c r="M142" i="46"/>
  <c r="O142" i="46" s="1"/>
  <c r="M153" i="46"/>
  <c r="AA136" i="23"/>
  <c r="AA133" i="23" s="1"/>
  <c r="AI133" i="23" s="1"/>
  <c r="I59" i="29"/>
  <c r="L37" i="46"/>
  <c r="M37" i="46"/>
  <c r="J179" i="23"/>
  <c r="AJ31" i="23" s="1"/>
  <c r="B31" i="23" s="1"/>
  <c r="J81" i="23"/>
  <c r="AJ22" i="23" s="1"/>
  <c r="B22" i="23" s="1"/>
  <c r="H16" i="50" s="1"/>
  <c r="I16" i="50" s="1"/>
  <c r="S33" i="46"/>
  <c r="S32" i="46"/>
  <c r="S64" i="46"/>
  <c r="S31" i="46"/>
  <c r="O31" i="46" s="1"/>
  <c r="AE60" i="23" s="1"/>
  <c r="D39" i="40"/>
  <c r="S216" i="23" s="1"/>
  <c r="X34" i="40"/>
  <c r="Y34" i="40"/>
  <c r="Z34" i="40"/>
  <c r="AB34" i="40"/>
  <c r="AC34" i="40"/>
  <c r="W34" i="40"/>
  <c r="S34" i="40"/>
  <c r="T34" i="40"/>
  <c r="U34" i="40"/>
  <c r="V34" i="40"/>
  <c r="AA34" i="40"/>
  <c r="F35" i="40"/>
  <c r="R34" i="40"/>
  <c r="AG39" i="46"/>
  <c r="H134" i="46"/>
  <c r="I134" i="46" s="1"/>
  <c r="N157" i="46" s="1"/>
  <c r="O157" i="46" s="1"/>
  <c r="X76" i="40"/>
  <c r="V76" i="40"/>
  <c r="W76" i="40"/>
  <c r="AA76" i="40"/>
  <c r="Y76" i="40"/>
  <c r="Z76" i="40"/>
  <c r="R76" i="40"/>
  <c r="U76" i="40"/>
  <c r="T76" i="40"/>
  <c r="AB76" i="40"/>
  <c r="AC76" i="40"/>
  <c r="S76" i="40"/>
  <c r="J22" i="35"/>
  <c r="G22" i="35" s="1"/>
  <c r="F184" i="23" s="1"/>
  <c r="Z31" i="23" s="1"/>
  <c r="J16" i="50" l="1"/>
  <c r="S42" i="46"/>
  <c r="S57" i="46"/>
  <c r="S43" i="46"/>
  <c r="N54" i="44"/>
  <c r="N55" i="44" s="1"/>
  <c r="S62" i="46"/>
  <c r="O53" i="46"/>
  <c r="AA130" i="23" s="1"/>
  <c r="AI130" i="23" s="1"/>
  <c r="J127" i="23" s="1"/>
  <c r="S68" i="46"/>
  <c r="S28" i="46"/>
  <c r="S27" i="46"/>
  <c r="O27" i="46" s="1"/>
  <c r="S29" i="46"/>
  <c r="O29" i="46" s="1"/>
  <c r="S30" i="46"/>
  <c r="O30" i="46" s="1"/>
  <c r="J53" i="46"/>
  <c r="J54" i="46" s="1"/>
  <c r="J56" i="46" s="1"/>
  <c r="L141" i="23" s="1"/>
  <c r="I63" i="29"/>
  <c r="AJ60" i="23"/>
  <c r="S37" i="46"/>
  <c r="S38" i="46"/>
  <c r="S36" i="46"/>
  <c r="S39" i="46"/>
  <c r="S40" i="46"/>
  <c r="S67" i="46"/>
  <c r="S66" i="46"/>
  <c r="S35" i="46"/>
  <c r="O35" i="46" s="1"/>
  <c r="AE56" i="23" s="1"/>
  <c r="P75" i="40"/>
  <c r="P34" i="40"/>
  <c r="C45" i="50" a="1"/>
  <c r="C36" i="50" a="1"/>
  <c r="C18" i="50" a="1"/>
  <c r="C27" i="50" a="1"/>
  <c r="C39" i="50" a="1"/>
  <c r="C15" i="50" a="1"/>
  <c r="C33" i="50" a="1"/>
  <c r="C30" i="50" a="1"/>
  <c r="C51" i="50" a="1"/>
  <c r="C24" i="50" a="1"/>
  <c r="C48" i="50" a="1"/>
  <c r="C42" i="50" a="1"/>
  <c r="C21" i="50" a="1"/>
  <c r="C42" i="50" l="1"/>
  <c r="E43" i="50" s="1"/>
  <c r="E45" i="50" s="1"/>
  <c r="C51" i="50"/>
  <c r="E52" i="50" s="1"/>
  <c r="E53" i="50" s="1"/>
  <c r="C33" i="50"/>
  <c r="E34" i="50" s="1"/>
  <c r="E36" i="50" s="1"/>
  <c r="C24" i="50"/>
  <c r="E25" i="50" s="1"/>
  <c r="C39" i="50"/>
  <c r="E40" i="50" s="1"/>
  <c r="E41" i="50" s="1"/>
  <c r="C48" i="50"/>
  <c r="E49" i="50" s="1"/>
  <c r="E50" i="50" s="1"/>
  <c r="C30" i="50"/>
  <c r="E31" i="50" s="1"/>
  <c r="E33" i="50" s="1"/>
  <c r="C21" i="50"/>
  <c r="E22" i="50" s="1"/>
  <c r="E23" i="50" s="1"/>
  <c r="C45" i="50"/>
  <c r="E46" i="50" s="1"/>
  <c r="E47" i="50" s="1"/>
  <c r="C36" i="50"/>
  <c r="E37" i="50" s="1"/>
  <c r="E38" i="50" s="1"/>
  <c r="C27" i="50"/>
  <c r="E28" i="50" s="1"/>
  <c r="E29" i="50" s="1"/>
  <c r="C18" i="50"/>
  <c r="E19" i="50" s="1"/>
  <c r="E21" i="50" s="1"/>
  <c r="C15" i="50"/>
  <c r="C57" i="46"/>
  <c r="E7" i="29"/>
  <c r="N56" i="44"/>
  <c r="N57" i="44" s="1"/>
  <c r="AJ26" i="23"/>
  <c r="B26" i="23" s="1"/>
  <c r="AI141" i="23"/>
  <c r="AP4" i="46"/>
  <c r="AT4" i="23" s="1"/>
  <c r="AP3" i="46"/>
  <c r="AT3" i="23" s="1"/>
  <c r="I67" i="29"/>
  <c r="AJ56" i="23"/>
  <c r="J54" i="23" s="1"/>
  <c r="AI18" i="23" s="1"/>
  <c r="B18" i="23" s="1"/>
  <c r="S65" i="46"/>
  <c r="B71" i="40"/>
  <c r="B78" i="40"/>
  <c r="E27" i="50" l="1"/>
  <c r="E26" i="50"/>
  <c r="D40" i="50"/>
  <c r="E20" i="50"/>
  <c r="D23" i="50"/>
  <c r="E39" i="50"/>
  <c r="D43" i="50"/>
  <c r="D31" i="50"/>
  <c r="D22" i="50"/>
  <c r="D36" i="50"/>
  <c r="E42" i="50"/>
  <c r="D45" i="50"/>
  <c r="E44" i="50"/>
  <c r="E30" i="50"/>
  <c r="E35" i="50"/>
  <c r="D38" i="50"/>
  <c r="D17" i="50"/>
  <c r="D50" i="50"/>
  <c r="D52" i="50"/>
  <c r="D53" i="50"/>
  <c r="D48" i="50"/>
  <c r="E16" i="50"/>
  <c r="E18" i="50" s="1"/>
  <c r="D32" i="50"/>
  <c r="D16" i="50"/>
  <c r="D25" i="50"/>
  <c r="D37" i="50"/>
  <c r="D18" i="50"/>
  <c r="D51" i="50"/>
  <c r="D19" i="50"/>
  <c r="E32" i="50"/>
  <c r="D26" i="50"/>
  <c r="D42" i="50"/>
  <c r="D41" i="50"/>
  <c r="D30" i="50"/>
  <c r="D15" i="50"/>
  <c r="D35" i="50"/>
  <c r="D29" i="50"/>
  <c r="D28" i="50"/>
  <c r="D49" i="50"/>
  <c r="D24" i="50"/>
  <c r="D27" i="50"/>
  <c r="D39" i="50"/>
  <c r="D33" i="50"/>
  <c r="D21" i="50"/>
  <c r="D20" i="50"/>
  <c r="D47" i="50"/>
  <c r="D44" i="50"/>
  <c r="D34" i="50"/>
  <c r="D46" i="50"/>
  <c r="E24" i="50"/>
  <c r="E48" i="50"/>
  <c r="E51" i="50"/>
  <c r="E11" i="29"/>
  <c r="K7" i="29"/>
  <c r="M7" i="29" s="1"/>
  <c r="N58" i="44"/>
  <c r="N59" i="44" s="1"/>
  <c r="N60" i="44" s="1"/>
  <c r="N61" i="44" s="1"/>
  <c r="N62" i="44" s="1"/>
  <c r="N63" i="44" s="1"/>
  <c r="N64" i="44" s="1"/>
  <c r="N65" i="44" s="1"/>
  <c r="N66" i="44" s="1"/>
  <c r="N67" i="44" s="1"/>
  <c r="N68" i="44" s="1"/>
  <c r="N69" i="44" s="1"/>
  <c r="N70" i="44" s="1"/>
  <c r="N71" i="44" s="1"/>
  <c r="N72" i="44" s="1"/>
  <c r="N73" i="44" s="1"/>
  <c r="N74" i="44" s="1"/>
  <c r="N75" i="44" s="1"/>
  <c r="N76" i="44" s="1"/>
  <c r="N77" i="44" s="1"/>
  <c r="N78" i="44" s="1"/>
  <c r="N79" i="44" s="1"/>
  <c r="N80" i="44" s="1"/>
  <c r="N81" i="44" s="1"/>
  <c r="N82" i="44" s="1"/>
  <c r="N83" i="44" s="1"/>
  <c r="N84" i="44" s="1"/>
  <c r="N85" i="44" s="1"/>
  <c r="N86" i="44" s="1"/>
  <c r="N87" i="44" s="1"/>
  <c r="N88" i="44" s="1"/>
  <c r="N89" i="44" s="1"/>
  <c r="N90" i="44" s="1"/>
  <c r="N91" i="44" s="1"/>
  <c r="N92" i="44" s="1"/>
  <c r="N93" i="44" s="1"/>
  <c r="N94" i="44" s="1"/>
  <c r="N95" i="44" s="1"/>
  <c r="N96" i="44" s="1"/>
  <c r="N97" i="44" s="1"/>
  <c r="N98" i="44" s="1"/>
  <c r="N99" i="44" s="1"/>
  <c r="N100" i="44" s="1"/>
  <c r="N101" i="44" s="1"/>
  <c r="N102" i="44" s="1"/>
  <c r="N103" i="44" s="1"/>
  <c r="N104" i="44" s="1"/>
  <c r="N105" i="44" s="1"/>
  <c r="N106" i="44" s="1"/>
  <c r="N107" i="44" s="1"/>
  <c r="N108" i="44" s="1"/>
  <c r="N109" i="44" s="1"/>
  <c r="N110" i="44" s="1"/>
  <c r="N111" i="44" s="1"/>
  <c r="N112" i="44" s="1"/>
  <c r="N113" i="44" s="1"/>
  <c r="N114" i="44" s="1"/>
  <c r="N115" i="44" s="1"/>
  <c r="N116" i="44" s="1"/>
  <c r="N117" i="44" s="1"/>
  <c r="N118" i="44" s="1"/>
  <c r="N119" i="44" s="1"/>
  <c r="N120" i="44" s="1"/>
  <c r="N121" i="44" s="1"/>
  <c r="N122" i="44" s="1"/>
  <c r="N123" i="44" s="1"/>
  <c r="N124" i="44" s="1"/>
  <c r="N125" i="44" s="1"/>
  <c r="N126" i="44" s="1"/>
  <c r="N127" i="44" s="1"/>
  <c r="N128" i="44" s="1"/>
  <c r="N129" i="44" s="1"/>
  <c r="N130" i="44" s="1"/>
  <c r="N131" i="44" s="1"/>
  <c r="N132" i="44" s="1"/>
  <c r="N133" i="44" s="1"/>
  <c r="N134" i="44" s="1"/>
  <c r="N135" i="44" s="1"/>
  <c r="N136" i="44" s="1"/>
  <c r="N137" i="44" s="1"/>
  <c r="N138" i="44" s="1"/>
  <c r="N139" i="44" s="1"/>
  <c r="N140" i="44" s="1"/>
  <c r="I71" i="29"/>
  <c r="E17" i="50" l="1"/>
  <c r="E15" i="29"/>
  <c r="K11" i="29"/>
  <c r="M11" i="29" s="1"/>
  <c r="K15" i="29" l="1"/>
  <c r="M15" i="29" s="1"/>
  <c r="E19" i="29"/>
  <c r="K19" i="29" l="1"/>
  <c r="M19" i="29" s="1"/>
  <c r="E23" i="29"/>
  <c r="E27" i="29" l="1"/>
  <c r="K23" i="29"/>
  <c r="M23" i="29" s="1"/>
  <c r="K27" i="29" l="1"/>
  <c r="M27" i="29" s="1"/>
  <c r="E31" i="29"/>
  <c r="K31" i="29" l="1"/>
  <c r="M31" i="29" s="1"/>
  <c r="E35" i="29"/>
  <c r="E39" i="29" l="1"/>
  <c r="K35" i="29"/>
  <c r="M35" i="29" s="1"/>
  <c r="P135" i="23" s="1"/>
  <c r="V135" i="23" s="1"/>
  <c r="K39" i="29" l="1"/>
  <c r="M39" i="29" s="1"/>
  <c r="E43" i="29"/>
  <c r="E47" i="29" l="1"/>
  <c r="K43" i="29"/>
  <c r="M43" i="29" s="1"/>
  <c r="E51" i="29" l="1"/>
  <c r="K47" i="29"/>
  <c r="M47" i="29" s="1"/>
  <c r="K51" i="29" l="1"/>
  <c r="M51" i="29" s="1"/>
  <c r="E55" i="29"/>
  <c r="K55" i="29" l="1"/>
  <c r="M55" i="29" s="1"/>
  <c r="E59" i="29"/>
  <c r="K59" i="29" l="1"/>
  <c r="M59" i="29" s="1"/>
  <c r="E63" i="29"/>
  <c r="K63" i="29" l="1"/>
  <c r="M63" i="29" s="1"/>
  <c r="E67" i="29"/>
  <c r="E71" i="29" l="1"/>
  <c r="K71" i="29" s="1"/>
  <c r="M71" i="29" s="1"/>
  <c r="K67" i="29"/>
  <c r="M67" i="29"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<sst xmlns="http://schemas.openxmlformats.org/spreadsheetml/2006/main" count="3259" uniqueCount="1310">
  <si>
    <t>利用定員</t>
    <rPh sb="0" eb="2">
      <t>リヨウ</t>
    </rPh>
    <rPh sb="2" eb="4">
      <t>テイイン</t>
    </rPh>
    <phoneticPr fontId="1"/>
  </si>
  <si>
    <t>合計</t>
    <rPh sb="0" eb="2">
      <t>ゴウケイ</t>
    </rPh>
    <phoneticPr fontId="1"/>
  </si>
  <si>
    <t>施設名</t>
    <rPh sb="0" eb="2">
      <t>シセツ</t>
    </rPh>
    <rPh sb="2" eb="3">
      <t>メイ</t>
    </rPh>
    <phoneticPr fontId="3"/>
  </si>
  <si>
    <t>2号</t>
    <rPh sb="1" eb="2">
      <t>ゴウ</t>
    </rPh>
    <phoneticPr fontId="1"/>
  </si>
  <si>
    <t>3号</t>
    <rPh sb="1" eb="2">
      <t>ゴウ</t>
    </rPh>
    <phoneticPr fontId="1"/>
  </si>
  <si>
    <t>栄養士</t>
    <rPh sb="0" eb="3">
      <t>エイヨウシ</t>
    </rPh>
    <phoneticPr fontId="1"/>
  </si>
  <si>
    <t>その他</t>
    <rPh sb="2" eb="3">
      <t>タ</t>
    </rPh>
    <phoneticPr fontId="1"/>
  </si>
  <si>
    <t>常勤</t>
    <rPh sb="0" eb="2">
      <t>ジョウキン</t>
    </rPh>
    <phoneticPr fontId="1"/>
  </si>
  <si>
    <t>非常勤</t>
    <rPh sb="0" eb="3">
      <t>ヒジョウキン</t>
    </rPh>
    <phoneticPr fontId="1"/>
  </si>
  <si>
    <t>職員名簿</t>
  </si>
  <si>
    <t>人</t>
    <rPh sb="0" eb="1">
      <t>ニン</t>
    </rPh>
    <phoneticPr fontId="1"/>
  </si>
  <si>
    <t>年</t>
    <rPh sb="0" eb="1">
      <t>ネン</t>
    </rPh>
    <phoneticPr fontId="1"/>
  </si>
  <si>
    <t>施設・事業所名</t>
    <rPh sb="0" eb="2">
      <t>シセツ</t>
    </rPh>
    <rPh sb="3" eb="6">
      <t>ジギョウショ</t>
    </rPh>
    <rPh sb="6" eb="7">
      <t>メイ</t>
    </rPh>
    <phoneticPr fontId="1"/>
  </si>
  <si>
    <t>法人名</t>
    <rPh sb="0" eb="2">
      <t>ホウジン</t>
    </rPh>
    <rPh sb="2" eb="3">
      <t>メイ</t>
    </rPh>
    <phoneticPr fontId="1"/>
  </si>
  <si>
    <t>代表者名</t>
    <rPh sb="0" eb="3">
      <t>ダイヒョウシャ</t>
    </rPh>
    <rPh sb="3" eb="4">
      <t>メイ</t>
    </rPh>
    <phoneticPr fontId="1"/>
  </si>
  <si>
    <t>計</t>
    <rPh sb="0" eb="1">
      <t>ケイ</t>
    </rPh>
    <phoneticPr fontId="1"/>
  </si>
  <si>
    <t>クラス編成表</t>
  </si>
  <si>
    <t>クラス名</t>
    <rPh sb="3" eb="4">
      <t>メイ</t>
    </rPh>
    <phoneticPr fontId="3"/>
  </si>
  <si>
    <t>年 齢</t>
    <rPh sb="0" eb="1">
      <t>トシ</t>
    </rPh>
    <rPh sb="2" eb="3">
      <t>ヨワイ</t>
    </rPh>
    <phoneticPr fontId="3"/>
  </si>
  <si>
    <t>人 数</t>
    <rPh sb="0" eb="1">
      <t>ヒト</t>
    </rPh>
    <rPh sb="2" eb="3">
      <t>カズ</t>
    </rPh>
    <phoneticPr fontId="3"/>
  </si>
  <si>
    <t>副担任名</t>
    <rPh sb="0" eb="3">
      <t>フクタンニン</t>
    </rPh>
    <rPh sb="3" eb="4">
      <t>メイ</t>
    </rPh>
    <phoneticPr fontId="3"/>
  </si>
  <si>
    <t>備考</t>
    <rPh sb="0" eb="2">
      <t>ビコウ</t>
    </rPh>
    <phoneticPr fontId="3"/>
  </si>
  <si>
    <t>合計</t>
    <rPh sb="0" eb="2">
      <t>ゴウケイ</t>
    </rPh>
    <phoneticPr fontId="3"/>
  </si>
  <si>
    <t>児童数計</t>
    <rPh sb="0" eb="2">
      <t>ジドウ</t>
    </rPh>
    <rPh sb="3" eb="4">
      <t>ケイ</t>
    </rPh>
    <phoneticPr fontId="3"/>
  </si>
  <si>
    <t>※　本表と同様の内容が確認できる書類の提出がある場合は、本クラス編成表の提出を省略することができます。</t>
    <rPh sb="2" eb="3">
      <t>ホン</t>
    </rPh>
    <rPh sb="3" eb="4">
      <t>ヒョウ</t>
    </rPh>
    <rPh sb="5" eb="7">
      <t>ドウヨウ</t>
    </rPh>
    <rPh sb="8" eb="10">
      <t>ナイヨウ</t>
    </rPh>
    <rPh sb="11" eb="13">
      <t>カクニン</t>
    </rPh>
    <rPh sb="16" eb="18">
      <t>ショルイ</t>
    </rPh>
    <rPh sb="19" eb="21">
      <t>テイシュツ</t>
    </rPh>
    <rPh sb="24" eb="26">
      <t>バアイ</t>
    </rPh>
    <rPh sb="28" eb="29">
      <t>ホン</t>
    </rPh>
    <rPh sb="32" eb="34">
      <t>ヘンセイ</t>
    </rPh>
    <rPh sb="34" eb="35">
      <t>ヒョウ</t>
    </rPh>
    <rPh sb="36" eb="38">
      <t>テイシュツ</t>
    </rPh>
    <rPh sb="39" eb="41">
      <t>ショウリャク</t>
    </rPh>
    <phoneticPr fontId="3"/>
  </si>
  <si>
    <t>※　年齢の高いクラス（年長）から記入願います。</t>
    <rPh sb="2" eb="4">
      <t>ネンレイ</t>
    </rPh>
    <rPh sb="5" eb="6">
      <t>タカ</t>
    </rPh>
    <rPh sb="11" eb="13">
      <t>ネンチョウ</t>
    </rPh>
    <rPh sb="16" eb="18">
      <t>キニュウ</t>
    </rPh>
    <rPh sb="18" eb="19">
      <t>ネガ</t>
    </rPh>
    <phoneticPr fontId="3"/>
  </si>
  <si>
    <t>Ⅰ　総括表</t>
    <rPh sb="2" eb="5">
      <t>ソウカツヒョウ</t>
    </rPh>
    <phoneticPr fontId="1"/>
  </si>
  <si>
    <t>所在地</t>
    <rPh sb="0" eb="3">
      <t>ショザイチ</t>
    </rPh>
    <phoneticPr fontId="1"/>
  </si>
  <si>
    <t>名</t>
    <rPh sb="0" eb="1">
      <t>メイ</t>
    </rPh>
    <phoneticPr fontId="1"/>
  </si>
  <si>
    <t>加算・調整項目</t>
    <rPh sb="0" eb="2">
      <t>カサン</t>
    </rPh>
    <rPh sb="3" eb="5">
      <t>チョウセイ</t>
    </rPh>
    <rPh sb="5" eb="7">
      <t>コウモク</t>
    </rPh>
    <phoneticPr fontId="1"/>
  </si>
  <si>
    <t>備考</t>
    <rPh sb="0" eb="2">
      <t>ビコウ</t>
    </rPh>
    <phoneticPr fontId="1"/>
  </si>
  <si>
    <t>基本加算部分</t>
    <rPh sb="0" eb="2">
      <t>キホン</t>
    </rPh>
    <rPh sb="2" eb="4">
      <t>カサン</t>
    </rPh>
    <rPh sb="4" eb="6">
      <t>ブブン</t>
    </rPh>
    <phoneticPr fontId="1"/>
  </si>
  <si>
    <t>処遇改善等加算Ⅰ</t>
    <rPh sb="0" eb="2">
      <t>ショグウ</t>
    </rPh>
    <rPh sb="2" eb="4">
      <t>カイゼン</t>
    </rPh>
    <rPh sb="4" eb="5">
      <t>トウ</t>
    </rPh>
    <rPh sb="5" eb="7">
      <t>カサン</t>
    </rPh>
    <phoneticPr fontId="1"/>
  </si>
  <si>
    <t>3歳児配置改善加算</t>
    <rPh sb="1" eb="2">
      <t>サイ</t>
    </rPh>
    <rPh sb="3" eb="5">
      <t>ハイチ</t>
    </rPh>
    <rPh sb="5" eb="7">
      <t>カイゼン</t>
    </rPh>
    <rPh sb="7" eb="9">
      <t>カサン</t>
    </rPh>
    <phoneticPr fontId="1"/>
  </si>
  <si>
    <t>加減調整部分</t>
    <rPh sb="0" eb="2">
      <t>カゲン</t>
    </rPh>
    <rPh sb="2" eb="4">
      <t>チョウセイ</t>
    </rPh>
    <rPh sb="4" eb="6">
      <t>ブブン</t>
    </rPh>
    <phoneticPr fontId="1"/>
  </si>
  <si>
    <t>乗除調整部分</t>
    <rPh sb="0" eb="2">
      <t>ジョウジョ</t>
    </rPh>
    <rPh sb="2" eb="4">
      <t>チョウセイ</t>
    </rPh>
    <rPh sb="4" eb="6">
      <t>ブブン</t>
    </rPh>
    <phoneticPr fontId="1"/>
  </si>
  <si>
    <t>特定加算部分</t>
    <rPh sb="0" eb="2">
      <t>トクテイ</t>
    </rPh>
    <rPh sb="2" eb="4">
      <t>カサン</t>
    </rPh>
    <rPh sb="4" eb="6">
      <t>ブブン</t>
    </rPh>
    <phoneticPr fontId="1"/>
  </si>
  <si>
    <t>療育支援加算</t>
    <rPh sb="0" eb="2">
      <t>リョウイク</t>
    </rPh>
    <rPh sb="2" eb="4">
      <t>シエン</t>
    </rPh>
    <rPh sb="4" eb="6">
      <t>カサン</t>
    </rPh>
    <phoneticPr fontId="1"/>
  </si>
  <si>
    <t>処遇改善等加算Ⅱ</t>
    <rPh sb="0" eb="2">
      <t>ショグウ</t>
    </rPh>
    <rPh sb="2" eb="4">
      <t>カイゼン</t>
    </rPh>
    <rPh sb="4" eb="5">
      <t>トウ</t>
    </rPh>
    <rPh sb="5" eb="7">
      <t>カサン</t>
    </rPh>
    <phoneticPr fontId="1"/>
  </si>
  <si>
    <t>冷暖房費加算</t>
    <rPh sb="0" eb="3">
      <t>レイダンボウ</t>
    </rPh>
    <rPh sb="3" eb="4">
      <t>ヒ</t>
    </rPh>
    <rPh sb="4" eb="6">
      <t>カサン</t>
    </rPh>
    <phoneticPr fontId="1"/>
  </si>
  <si>
    <t>除雪費加算</t>
    <rPh sb="0" eb="2">
      <t>ジョセツ</t>
    </rPh>
    <rPh sb="2" eb="3">
      <t>ヒ</t>
    </rPh>
    <rPh sb="3" eb="5">
      <t>カサン</t>
    </rPh>
    <phoneticPr fontId="1"/>
  </si>
  <si>
    <t>降灰除去費加算</t>
    <rPh sb="0" eb="2">
      <t>コウハイ</t>
    </rPh>
    <rPh sb="2" eb="4">
      <t>ジョキョ</t>
    </rPh>
    <rPh sb="4" eb="5">
      <t>ヒ</t>
    </rPh>
    <rPh sb="5" eb="7">
      <t>カサン</t>
    </rPh>
    <phoneticPr fontId="1"/>
  </si>
  <si>
    <t>施設機能強化推進費加算</t>
    <rPh sb="0" eb="2">
      <t>シセツ</t>
    </rPh>
    <rPh sb="2" eb="4">
      <t>キノウ</t>
    </rPh>
    <rPh sb="4" eb="6">
      <t>キョウカ</t>
    </rPh>
    <rPh sb="6" eb="8">
      <t>スイシン</t>
    </rPh>
    <rPh sb="8" eb="9">
      <t>ヒ</t>
    </rPh>
    <rPh sb="9" eb="11">
      <t>カサン</t>
    </rPh>
    <phoneticPr fontId="1"/>
  </si>
  <si>
    <t>小学校接続加算</t>
    <rPh sb="0" eb="3">
      <t>ショウガッコウ</t>
    </rPh>
    <rPh sb="3" eb="5">
      <t>セツゾク</t>
    </rPh>
    <rPh sb="5" eb="7">
      <t>カサン</t>
    </rPh>
    <phoneticPr fontId="1"/>
  </si>
  <si>
    <t>栄養管理加算</t>
    <rPh sb="0" eb="2">
      <t>エイヨウ</t>
    </rPh>
    <rPh sb="2" eb="4">
      <t>カンリ</t>
    </rPh>
    <rPh sb="4" eb="6">
      <t>カサン</t>
    </rPh>
    <phoneticPr fontId="1"/>
  </si>
  <si>
    <t>第三者評価受審加算</t>
    <rPh sb="0" eb="3">
      <t>ダイサンシャ</t>
    </rPh>
    <rPh sb="3" eb="5">
      <t>ヒョウカ</t>
    </rPh>
    <rPh sb="5" eb="7">
      <t>ジュシン</t>
    </rPh>
    <rPh sb="7" eb="9">
      <t>カサン</t>
    </rPh>
    <phoneticPr fontId="1"/>
  </si>
  <si>
    <t>Ⅱ　個票</t>
    <rPh sb="2" eb="4">
      <t>コヒョウ</t>
    </rPh>
    <phoneticPr fontId="1"/>
  </si>
  <si>
    <t>1　処遇改善等加算Ⅰ</t>
    <rPh sb="2" eb="4">
      <t>ショグウ</t>
    </rPh>
    <rPh sb="4" eb="6">
      <t>カイゼン</t>
    </rPh>
    <rPh sb="6" eb="7">
      <t>トウ</t>
    </rPh>
    <rPh sb="7" eb="9">
      <t>カサン</t>
    </rPh>
    <phoneticPr fontId="1"/>
  </si>
  <si>
    <t>添付書類</t>
    <rPh sb="0" eb="2">
      <t>テンプ</t>
    </rPh>
    <rPh sb="2" eb="4">
      <t>ショルイ</t>
    </rPh>
    <phoneticPr fontId="1"/>
  </si>
  <si>
    <t>4月</t>
    <rPh sb="1" eb="2">
      <t>ガツ</t>
    </rPh>
    <phoneticPr fontId="1"/>
  </si>
  <si>
    <t>5月</t>
  </si>
  <si>
    <t>6月</t>
  </si>
  <si>
    <t>7月</t>
  </si>
  <si>
    <t>8月</t>
  </si>
  <si>
    <t>9月</t>
  </si>
  <si>
    <t>10月</t>
  </si>
  <si>
    <t>11月</t>
  </si>
  <si>
    <t>12月</t>
  </si>
  <si>
    <t>1月</t>
  </si>
  <si>
    <t>2月</t>
  </si>
  <si>
    <t>3月</t>
  </si>
  <si>
    <t>年平均在所率</t>
    <rPh sb="0" eb="3">
      <t>ネンヘイキン</t>
    </rPh>
    <rPh sb="3" eb="5">
      <t>ザイショ</t>
    </rPh>
    <rPh sb="5" eb="6">
      <t>リツ</t>
    </rPh>
    <phoneticPr fontId="1"/>
  </si>
  <si>
    <t>月初日在籍子ども数</t>
    <rPh sb="0" eb="1">
      <t>ツキ</t>
    </rPh>
    <rPh sb="1" eb="3">
      <t>ショニチ</t>
    </rPh>
    <rPh sb="3" eb="5">
      <t>ザイセキ</t>
    </rPh>
    <rPh sb="5" eb="6">
      <t>コ</t>
    </rPh>
    <rPh sb="8" eb="9">
      <t>スウ</t>
    </rPh>
    <phoneticPr fontId="1"/>
  </si>
  <si>
    <t>月初日利用定員</t>
    <rPh sb="0" eb="1">
      <t>ツキ</t>
    </rPh>
    <rPh sb="1" eb="3">
      <t>ショニチ</t>
    </rPh>
    <rPh sb="3" eb="5">
      <t>リヨウ</t>
    </rPh>
    <rPh sb="5" eb="7">
      <t>テイイン</t>
    </rPh>
    <phoneticPr fontId="1"/>
  </si>
  <si>
    <t>特別児童扶養手当支給対象児童</t>
    <rPh sb="0" eb="2">
      <t>トクベツ</t>
    </rPh>
    <rPh sb="2" eb="4">
      <t>ジドウ</t>
    </rPh>
    <rPh sb="4" eb="6">
      <t>フヨウ</t>
    </rPh>
    <rPh sb="6" eb="8">
      <t>テアテ</t>
    </rPh>
    <rPh sb="8" eb="10">
      <t>シキュウ</t>
    </rPh>
    <rPh sb="10" eb="12">
      <t>タイショウ</t>
    </rPh>
    <rPh sb="12" eb="14">
      <t>ジドウ</t>
    </rPh>
    <phoneticPr fontId="1"/>
  </si>
  <si>
    <t>○</t>
    <phoneticPr fontId="1"/>
  </si>
  <si>
    <t>（あて先）札幌市長</t>
    <rPh sb="3" eb="4">
      <t>サキ</t>
    </rPh>
    <rPh sb="5" eb="9">
      <t>サッポロシチョウ</t>
    </rPh>
    <phoneticPr fontId="1"/>
  </si>
  <si>
    <t>月現在</t>
    <rPh sb="0" eb="1">
      <t>ガツ</t>
    </rPh>
    <rPh sb="1" eb="3">
      <t>ゲンザイ</t>
    </rPh>
    <phoneticPr fontId="1"/>
  </si>
  <si>
    <t>○</t>
  </si>
  <si>
    <t>別途、所定の様式により申請する。</t>
    <rPh sb="0" eb="2">
      <t>ベット</t>
    </rPh>
    <rPh sb="3" eb="5">
      <t>ショテイ</t>
    </rPh>
    <rPh sb="6" eb="8">
      <t>ヨウシキ</t>
    </rPh>
    <rPh sb="11" eb="13">
      <t>シンセイ</t>
    </rPh>
    <phoneticPr fontId="1"/>
  </si>
  <si>
    <t>減算要件</t>
    <rPh sb="0" eb="2">
      <t>ゲンサン</t>
    </rPh>
    <rPh sb="2" eb="4">
      <t>ヨウケン</t>
    </rPh>
    <phoneticPr fontId="1"/>
  </si>
  <si>
    <t>②　特別児童扶養手当を受給している場合は特別児童扶養手当受給者証の写し（期限が有効なものに限る。）</t>
    <rPh sb="2" eb="4">
      <t>トクベツ</t>
    </rPh>
    <rPh sb="4" eb="6">
      <t>ジドウ</t>
    </rPh>
    <rPh sb="6" eb="8">
      <t>フヨウ</t>
    </rPh>
    <rPh sb="8" eb="10">
      <t>テアテ</t>
    </rPh>
    <rPh sb="11" eb="13">
      <t>ジュキュウ</t>
    </rPh>
    <rPh sb="17" eb="19">
      <t>バアイ</t>
    </rPh>
    <rPh sb="20" eb="22">
      <t>トクベツ</t>
    </rPh>
    <rPh sb="22" eb="24">
      <t>ジドウ</t>
    </rPh>
    <rPh sb="24" eb="26">
      <t>フヨウ</t>
    </rPh>
    <rPh sb="26" eb="28">
      <t>テアテ</t>
    </rPh>
    <rPh sb="28" eb="31">
      <t>ジュキュウシャ</t>
    </rPh>
    <rPh sb="31" eb="32">
      <t>ショウ</t>
    </rPh>
    <rPh sb="33" eb="34">
      <t>ウツ</t>
    </rPh>
    <rPh sb="36" eb="38">
      <t>キゲン</t>
    </rPh>
    <rPh sb="39" eb="41">
      <t>ユウコウ</t>
    </rPh>
    <rPh sb="45" eb="46">
      <t>カギ</t>
    </rPh>
    <phoneticPr fontId="1"/>
  </si>
  <si>
    <t>No.</t>
    <phoneticPr fontId="1"/>
  </si>
  <si>
    <t>施設長名</t>
    <rPh sb="0" eb="3">
      <t>シセツチョウ</t>
    </rPh>
    <rPh sb="3" eb="4">
      <t>メイ</t>
    </rPh>
    <phoneticPr fontId="1"/>
  </si>
  <si>
    <t>3月加算</t>
    <rPh sb="1" eb="2">
      <t>ガツ</t>
    </rPh>
    <rPh sb="2" eb="4">
      <t>カサン</t>
    </rPh>
    <phoneticPr fontId="1"/>
  </si>
  <si>
    <t>2級地</t>
    <rPh sb="1" eb="2">
      <t>キュウ</t>
    </rPh>
    <rPh sb="2" eb="3">
      <t>チ</t>
    </rPh>
    <phoneticPr fontId="1"/>
  </si>
  <si>
    <t>西暦</t>
    <rPh sb="0" eb="2">
      <t>セイレキ</t>
    </rPh>
    <phoneticPr fontId="1"/>
  </si>
  <si>
    <t>年</t>
    <rPh sb="0" eb="1">
      <t>ネン</t>
    </rPh>
    <phoneticPr fontId="1"/>
  </si>
  <si>
    <t>札幌市は対象外です。</t>
    <rPh sb="0" eb="3">
      <t>サッポロシ</t>
    </rPh>
    <rPh sb="4" eb="7">
      <t>タイショウガイ</t>
    </rPh>
    <phoneticPr fontId="1"/>
  </si>
  <si>
    <t>3月加算については、11月頃（締切は12月末）に3月加算用申請書を依頼いたします。</t>
    <rPh sb="1" eb="2">
      <t>ガツ</t>
    </rPh>
    <rPh sb="2" eb="4">
      <t>カサン</t>
    </rPh>
    <rPh sb="12" eb="13">
      <t>ガツ</t>
    </rPh>
    <rPh sb="13" eb="14">
      <t>コロ</t>
    </rPh>
    <rPh sb="15" eb="17">
      <t>シメキリ</t>
    </rPh>
    <rPh sb="20" eb="22">
      <t>ガツマツ</t>
    </rPh>
    <rPh sb="25" eb="26">
      <t>ガツ</t>
    </rPh>
    <rPh sb="26" eb="28">
      <t>カサン</t>
    </rPh>
    <rPh sb="28" eb="29">
      <t>ヨウ</t>
    </rPh>
    <rPh sb="29" eb="32">
      <t>シンセイショ</t>
    </rPh>
    <rPh sb="33" eb="35">
      <t>イライ</t>
    </rPh>
    <phoneticPr fontId="1"/>
  </si>
  <si>
    <t>その他</t>
    <rPh sb="2" eb="3">
      <t>タ</t>
    </rPh>
    <phoneticPr fontId="1"/>
  </si>
  <si>
    <t>特児</t>
    <rPh sb="0" eb="2">
      <t>トクジ</t>
    </rPh>
    <phoneticPr fontId="1"/>
  </si>
  <si>
    <t>療育</t>
    <rPh sb="0" eb="2">
      <t>リョウイク</t>
    </rPh>
    <phoneticPr fontId="1"/>
  </si>
  <si>
    <t>選択</t>
    <rPh sb="0" eb="2">
      <t>センタク</t>
    </rPh>
    <phoneticPr fontId="1"/>
  </si>
  <si>
    <t>月</t>
    <rPh sb="0" eb="1">
      <t>ツキ</t>
    </rPh>
    <phoneticPr fontId="1"/>
  </si>
  <si>
    <t>チーム</t>
    <phoneticPr fontId="1"/>
  </si>
  <si>
    <t>給食</t>
    <rPh sb="0" eb="2">
      <t>キュウショク</t>
    </rPh>
    <phoneticPr fontId="1"/>
  </si>
  <si>
    <t>②</t>
    <phoneticPr fontId="1"/>
  </si>
  <si>
    <t>③</t>
    <phoneticPr fontId="1"/>
  </si>
  <si>
    <t>⑤</t>
    <phoneticPr fontId="1"/>
  </si>
  <si>
    <t>基準日</t>
    <rPh sb="0" eb="3">
      <t>キジュンビ</t>
    </rPh>
    <phoneticPr fontId="1"/>
  </si>
  <si>
    <t>②職員状況</t>
    <rPh sb="1" eb="3">
      <t>ショクイン</t>
    </rPh>
    <rPh sb="3" eb="5">
      <t>ジョウキョウ</t>
    </rPh>
    <phoneticPr fontId="1"/>
  </si>
  <si>
    <t>判定</t>
    <rPh sb="0" eb="2">
      <t>ハンテイ</t>
    </rPh>
    <phoneticPr fontId="1"/>
  </si>
  <si>
    <t>有給</t>
    <rPh sb="0" eb="2">
      <t>ユウキュウ</t>
    </rPh>
    <phoneticPr fontId="1"/>
  </si>
  <si>
    <t>無給</t>
    <rPh sb="0" eb="2">
      <t>ムキュウ</t>
    </rPh>
    <phoneticPr fontId="1"/>
  </si>
  <si>
    <t>&lt;常勤換算&gt;</t>
    <rPh sb="1" eb="3">
      <t>ジョウキン</t>
    </rPh>
    <rPh sb="3" eb="5">
      <t>カンサン</t>
    </rPh>
    <phoneticPr fontId="1"/>
  </si>
  <si>
    <t>初日時点の給与状況</t>
    <rPh sb="0" eb="2">
      <t>ショニチ</t>
    </rPh>
    <rPh sb="2" eb="4">
      <t>ジテン</t>
    </rPh>
    <rPh sb="5" eb="7">
      <t>キュウヨ</t>
    </rPh>
    <rPh sb="7" eb="9">
      <t>ジョウキョウ</t>
    </rPh>
    <phoneticPr fontId="1"/>
  </si>
  <si>
    <t>年齢別配置基準</t>
    <rPh sb="0" eb="2">
      <t>ネンレイ</t>
    </rPh>
    <rPh sb="2" eb="3">
      <t>ベツ</t>
    </rPh>
    <rPh sb="3" eb="5">
      <t>ハイチ</t>
    </rPh>
    <rPh sb="5" eb="7">
      <t>キジュン</t>
    </rPh>
    <phoneticPr fontId="1"/>
  </si>
  <si>
    <t>３歳児配置改善加算</t>
    <rPh sb="1" eb="3">
      <t>サイジ</t>
    </rPh>
    <rPh sb="3" eb="5">
      <t>ハイチ</t>
    </rPh>
    <rPh sb="5" eb="7">
      <t>カイゼン</t>
    </rPh>
    <rPh sb="7" eb="9">
      <t>カサン</t>
    </rPh>
    <phoneticPr fontId="1"/>
  </si>
  <si>
    <t>項目</t>
    <rPh sb="0" eb="2">
      <t>コウモク</t>
    </rPh>
    <phoneticPr fontId="1"/>
  </si>
  <si>
    <t>５月</t>
    <rPh sb="1" eb="2">
      <t>ガツ</t>
    </rPh>
    <phoneticPr fontId="1"/>
  </si>
  <si>
    <t>６月</t>
    <rPh sb="1" eb="2">
      <t>ガツ</t>
    </rPh>
    <phoneticPr fontId="1"/>
  </si>
  <si>
    <t>７月</t>
  </si>
  <si>
    <t>８月</t>
  </si>
  <si>
    <t>９月</t>
  </si>
  <si>
    <t>１０月</t>
  </si>
  <si>
    <t>１１月</t>
  </si>
  <si>
    <t>１２月</t>
  </si>
  <si>
    <t>１月</t>
  </si>
  <si>
    <t>２月</t>
  </si>
  <si>
    <t>３月</t>
    <phoneticPr fontId="1"/>
  </si>
  <si>
    <t>月時点</t>
    <rPh sb="0" eb="1">
      <t>ガツ</t>
    </rPh>
    <rPh sb="1" eb="3">
      <t>ジテン</t>
    </rPh>
    <phoneticPr fontId="1"/>
  </si>
  <si>
    <t>申請届出状況</t>
    <rPh sb="0" eb="2">
      <t>シンセイ</t>
    </rPh>
    <rPh sb="2" eb="4">
      <t>トドケデ</t>
    </rPh>
    <rPh sb="4" eb="6">
      <t>ジョウキョウ</t>
    </rPh>
    <phoneticPr fontId="1"/>
  </si>
  <si>
    <t>≪作成にあたって≫</t>
    <rPh sb="1" eb="3">
      <t>サクセイ</t>
    </rPh>
    <phoneticPr fontId="1"/>
  </si>
  <si>
    <t>≪施設状況の記載≫</t>
    <rPh sb="1" eb="3">
      <t>シセツ</t>
    </rPh>
    <rPh sb="3" eb="5">
      <t>ジョウキョウ</t>
    </rPh>
    <rPh sb="6" eb="8">
      <t>キサイ</t>
    </rPh>
    <phoneticPr fontId="1"/>
  </si>
  <si>
    <t>申請の有無</t>
    <rPh sb="0" eb="2">
      <t>シンセイ</t>
    </rPh>
    <rPh sb="3" eb="5">
      <t>ウム</t>
    </rPh>
    <phoneticPr fontId="1"/>
  </si>
  <si>
    <t>①　各月毎に上から順に埋めてください。最終的に、3月時点で4～3月の全加算状況が埋まるようにご作成ください。例）12月時点→4～12月加算情報</t>
    <rPh sb="2" eb="4">
      <t>カクツキ</t>
    </rPh>
    <rPh sb="4" eb="5">
      <t>ゴト</t>
    </rPh>
    <rPh sb="6" eb="7">
      <t>ウエ</t>
    </rPh>
    <rPh sb="9" eb="10">
      <t>ジュン</t>
    </rPh>
    <rPh sb="11" eb="12">
      <t>ウ</t>
    </rPh>
    <rPh sb="19" eb="22">
      <t>サイシュウテキ</t>
    </rPh>
    <rPh sb="25" eb="26">
      <t>ガツ</t>
    </rPh>
    <rPh sb="26" eb="28">
      <t>ジテン</t>
    </rPh>
    <rPh sb="32" eb="33">
      <t>ガツ</t>
    </rPh>
    <rPh sb="34" eb="37">
      <t>ゼンカサン</t>
    </rPh>
    <rPh sb="37" eb="39">
      <t>ジョウキョウ</t>
    </rPh>
    <rPh sb="40" eb="41">
      <t>ウ</t>
    </rPh>
    <rPh sb="47" eb="49">
      <t>サクセイ</t>
    </rPh>
    <rPh sb="54" eb="55">
      <t>レイ</t>
    </rPh>
    <rPh sb="58" eb="59">
      <t>ガツ</t>
    </rPh>
    <rPh sb="59" eb="61">
      <t>ジテン</t>
    </rPh>
    <rPh sb="66" eb="67">
      <t>ガツ</t>
    </rPh>
    <rPh sb="67" eb="69">
      <t>カサン</t>
    </rPh>
    <rPh sb="69" eb="71">
      <t>ジョウホウ</t>
    </rPh>
    <phoneticPr fontId="1"/>
  </si>
  <si>
    <t>A</t>
    <phoneticPr fontId="1"/>
  </si>
  <si>
    <t>B</t>
    <phoneticPr fontId="1"/>
  </si>
  <si>
    <t>基礎</t>
    <rPh sb="0" eb="2">
      <t>キソ</t>
    </rPh>
    <phoneticPr fontId="1"/>
  </si>
  <si>
    <t>賃金改善</t>
    <rPh sb="0" eb="2">
      <t>チンギン</t>
    </rPh>
    <rPh sb="2" eb="4">
      <t>カイゼン</t>
    </rPh>
    <phoneticPr fontId="1"/>
  </si>
  <si>
    <t>４月</t>
    <rPh sb="1" eb="2">
      <t>ガツ</t>
    </rPh>
    <phoneticPr fontId="1"/>
  </si>
  <si>
    <t>処遇基礎</t>
    <rPh sb="0" eb="2">
      <t>ショグウ</t>
    </rPh>
    <rPh sb="2" eb="4">
      <t>キソ</t>
    </rPh>
    <phoneticPr fontId="1"/>
  </si>
  <si>
    <t>年齢別・処遇Ⅱ</t>
    <rPh sb="0" eb="2">
      <t>ネンレイ</t>
    </rPh>
    <rPh sb="2" eb="3">
      <t>ベツ</t>
    </rPh>
    <rPh sb="4" eb="6">
      <t>ショグウ</t>
    </rPh>
    <phoneticPr fontId="1"/>
  </si>
  <si>
    <t>本園</t>
    <rPh sb="0" eb="1">
      <t>ホン</t>
    </rPh>
    <rPh sb="1" eb="2">
      <t>エン</t>
    </rPh>
    <phoneticPr fontId="1"/>
  </si>
  <si>
    <t>分園</t>
    <rPh sb="0" eb="2">
      <t>ブンエン</t>
    </rPh>
    <phoneticPr fontId="1"/>
  </si>
  <si>
    <t>休日保育加算</t>
    <rPh sb="0" eb="2">
      <t>キュウジツ</t>
    </rPh>
    <rPh sb="2" eb="4">
      <t>ホイク</t>
    </rPh>
    <rPh sb="4" eb="6">
      <t>カサン</t>
    </rPh>
    <phoneticPr fontId="1"/>
  </si>
  <si>
    <t>夜間保育加算</t>
    <rPh sb="0" eb="2">
      <t>ヤカン</t>
    </rPh>
    <rPh sb="2" eb="4">
      <t>ホイク</t>
    </rPh>
    <rPh sb="4" eb="6">
      <t>カサン</t>
    </rPh>
    <phoneticPr fontId="1"/>
  </si>
  <si>
    <t>減価償却費加算</t>
    <rPh sb="0" eb="2">
      <t>ゲンカ</t>
    </rPh>
    <rPh sb="2" eb="4">
      <t>ショウキャク</t>
    </rPh>
    <rPh sb="4" eb="5">
      <t>ヒ</t>
    </rPh>
    <rPh sb="5" eb="7">
      <t>カサン</t>
    </rPh>
    <phoneticPr fontId="1"/>
  </si>
  <si>
    <t>賃借料加算</t>
    <rPh sb="0" eb="3">
      <t>チンシャクリョウ</t>
    </rPh>
    <rPh sb="3" eb="5">
      <t>カサン</t>
    </rPh>
    <phoneticPr fontId="1"/>
  </si>
  <si>
    <t>乳児</t>
    <rPh sb="0" eb="2">
      <t>ニュウジ</t>
    </rPh>
    <phoneticPr fontId="1"/>
  </si>
  <si>
    <t>名</t>
    <rPh sb="0" eb="1">
      <t>ナ</t>
    </rPh>
    <phoneticPr fontId="1"/>
  </si>
  <si>
    <t>1.2歳児</t>
    <rPh sb="3" eb="5">
      <t>サイジ</t>
    </rPh>
    <phoneticPr fontId="1"/>
  </si>
  <si>
    <t>３歳児</t>
    <rPh sb="1" eb="3">
      <t>サイジ</t>
    </rPh>
    <phoneticPr fontId="1"/>
  </si>
  <si>
    <t>４歳以上児</t>
    <rPh sb="1" eb="2">
      <t>サイ</t>
    </rPh>
    <rPh sb="2" eb="4">
      <t>イジョウ</t>
    </rPh>
    <rPh sb="4" eb="5">
      <t>ジ</t>
    </rPh>
    <phoneticPr fontId="1"/>
  </si>
  <si>
    <t>　　計</t>
    <rPh sb="2" eb="3">
      <t>ケイ</t>
    </rPh>
    <phoneticPr fontId="1"/>
  </si>
  <si>
    <t>①</t>
    <phoneticPr fontId="1"/>
  </si>
  <si>
    <t>②</t>
    <phoneticPr fontId="1"/>
  </si>
  <si>
    <t>　当該改修等に当たって、国庫補助の交付を受けていない</t>
    <phoneticPr fontId="1"/>
  </si>
  <si>
    <t>③</t>
    <phoneticPr fontId="1"/>
  </si>
  <si>
    <t>加算要件</t>
    <rPh sb="0" eb="2">
      <t>カサン</t>
    </rPh>
    <rPh sb="2" eb="4">
      <t>ヨウケン</t>
    </rPh>
    <phoneticPr fontId="1"/>
  </si>
  <si>
    <t>入所</t>
    <rPh sb="0" eb="2">
      <t>ニュウショ</t>
    </rPh>
    <phoneticPr fontId="1"/>
  </si>
  <si>
    <t>400-800</t>
    <phoneticPr fontId="1"/>
  </si>
  <si>
    <t>800-1200</t>
    <phoneticPr fontId="1"/>
  </si>
  <si>
    <t>1200-</t>
    <phoneticPr fontId="1"/>
  </si>
  <si>
    <t>調理員</t>
    <rPh sb="0" eb="3">
      <t>チョウリイン</t>
    </rPh>
    <phoneticPr fontId="1"/>
  </si>
  <si>
    <t>正職</t>
    <rPh sb="0" eb="2">
      <t>セイショク</t>
    </rPh>
    <phoneticPr fontId="1"/>
  </si>
  <si>
    <t>臨職</t>
    <rPh sb="0" eb="2">
      <t>リンショク</t>
    </rPh>
    <phoneticPr fontId="1"/>
  </si>
  <si>
    <t>区分</t>
    <rPh sb="0" eb="2">
      <t>クブン</t>
    </rPh>
    <phoneticPr fontId="1"/>
  </si>
  <si>
    <t>総計</t>
    <rPh sb="0" eb="2">
      <t>ソウケイ</t>
    </rPh>
    <phoneticPr fontId="1"/>
  </si>
  <si>
    <t>チーム保育推進加算</t>
    <rPh sb="3" eb="5">
      <t>ホイク</t>
    </rPh>
    <rPh sb="5" eb="7">
      <t>スイシン</t>
    </rPh>
    <rPh sb="7" eb="9">
      <t>カサン</t>
    </rPh>
    <phoneticPr fontId="1"/>
  </si>
  <si>
    <t>主任保育士専任加算</t>
    <rPh sb="0" eb="2">
      <t>シュニン</t>
    </rPh>
    <rPh sb="2" eb="5">
      <t>ホイクシ</t>
    </rPh>
    <rPh sb="5" eb="7">
      <t>センニン</t>
    </rPh>
    <rPh sb="7" eb="9">
      <t>カサン</t>
    </rPh>
    <phoneticPr fontId="1"/>
  </si>
  <si>
    <t>【保育所】</t>
    <rPh sb="1" eb="3">
      <t>ホイク</t>
    </rPh>
    <rPh sb="3" eb="4">
      <t>ショ</t>
    </rPh>
    <phoneticPr fontId="1"/>
  </si>
  <si>
    <t>※1　児童福祉事業等に従事した者の例示</t>
    <rPh sb="3" eb="5">
      <t>ジドウ</t>
    </rPh>
    <rPh sb="5" eb="7">
      <t>フクシ</t>
    </rPh>
    <rPh sb="7" eb="9">
      <t>ジギョウ</t>
    </rPh>
    <rPh sb="9" eb="10">
      <t>トウ</t>
    </rPh>
    <rPh sb="11" eb="13">
      <t>ジュウジ</t>
    </rPh>
    <rPh sb="15" eb="16">
      <t>モノ</t>
    </rPh>
    <rPh sb="17" eb="19">
      <t>レイジ</t>
    </rPh>
    <phoneticPr fontId="1"/>
  </si>
  <si>
    <t>　児童福祉施設、幼稚園・小学校等における教諭、市町村長等の公的機関において児童福祉
に関する事務を取り扱う部局、民生委員・児童委員の他、教育・保育施設又は地域型保育事
業に移行した施設・事業所における移行前の認可外保育施設等。</t>
    <rPh sb="1" eb="3">
      <t>ジドウ</t>
    </rPh>
    <rPh sb="3" eb="5">
      <t>フクシ</t>
    </rPh>
    <rPh sb="5" eb="7">
      <t>シセツ</t>
    </rPh>
    <rPh sb="8" eb="11">
      <t>ヨウチエン</t>
    </rPh>
    <rPh sb="12" eb="15">
      <t>ショウガッコウ</t>
    </rPh>
    <rPh sb="15" eb="16">
      <t>トウ</t>
    </rPh>
    <rPh sb="20" eb="22">
      <t>キョウユ</t>
    </rPh>
    <rPh sb="23" eb="25">
      <t>シチョウ</t>
    </rPh>
    <rPh sb="25" eb="27">
      <t>ソンチョウ</t>
    </rPh>
    <rPh sb="27" eb="28">
      <t>トウ</t>
    </rPh>
    <rPh sb="29" eb="31">
      <t>コウテキ</t>
    </rPh>
    <rPh sb="31" eb="33">
      <t>キカン</t>
    </rPh>
    <rPh sb="37" eb="39">
      <t>ジドウ</t>
    </rPh>
    <rPh sb="39" eb="40">
      <t>フク</t>
    </rPh>
    <rPh sb="61" eb="63">
      <t>ジドウ</t>
    </rPh>
    <rPh sb="63" eb="65">
      <t>イイン</t>
    </rPh>
    <phoneticPr fontId="1"/>
  </si>
  <si>
    <t>②　所長研修を受講している場合は研修修了証</t>
    <rPh sb="2" eb="4">
      <t>ショチョウ</t>
    </rPh>
    <rPh sb="4" eb="6">
      <t>ケンシュウ</t>
    </rPh>
    <rPh sb="7" eb="9">
      <t>ジュコウ</t>
    </rPh>
    <rPh sb="13" eb="15">
      <t>バアイ</t>
    </rPh>
    <rPh sb="16" eb="18">
      <t>ケンシュウ</t>
    </rPh>
    <rPh sb="18" eb="20">
      <t>シュウリョウ</t>
    </rPh>
    <rPh sb="20" eb="21">
      <t>ショウ</t>
    </rPh>
    <phoneticPr fontId="1"/>
  </si>
  <si>
    <t>受講予定研修名</t>
    <rPh sb="0" eb="2">
      <t>ジュコウ</t>
    </rPh>
    <rPh sb="2" eb="4">
      <t>ヨテイ</t>
    </rPh>
    <rPh sb="4" eb="6">
      <t>ケンシュウ</t>
    </rPh>
    <rPh sb="6" eb="7">
      <t>メイ</t>
    </rPh>
    <phoneticPr fontId="1"/>
  </si>
  <si>
    <t>年</t>
    <rPh sb="0" eb="1">
      <t>ネン</t>
    </rPh>
    <phoneticPr fontId="1"/>
  </si>
  <si>
    <t>チーム保育推進加算</t>
    <rPh sb="3" eb="5">
      <t>ホイク</t>
    </rPh>
    <rPh sb="5" eb="7">
      <t>スイシン</t>
    </rPh>
    <rPh sb="7" eb="9">
      <t>カサン</t>
    </rPh>
    <phoneticPr fontId="17"/>
  </si>
  <si>
    <t>処遇改善等加算Ⅰ</t>
    <phoneticPr fontId="17"/>
  </si>
  <si>
    <t>＋</t>
  </si>
  <si>
    <t>定員区分</t>
    <rPh sb="0" eb="2">
      <t>テイイン</t>
    </rPh>
    <rPh sb="2" eb="4">
      <t>クブン</t>
    </rPh>
    <phoneticPr fontId="3"/>
  </si>
  <si>
    <t>　20人</t>
    <rPh sb="3" eb="4">
      <t>ニン</t>
    </rPh>
    <phoneticPr fontId="3"/>
  </si>
  <si>
    <t>　21人
　　から
　30人
　　まで</t>
    <rPh sb="3" eb="4">
      <t>ニン</t>
    </rPh>
    <rPh sb="13" eb="14">
      <t>ニン</t>
    </rPh>
    <phoneticPr fontId="3"/>
  </si>
  <si>
    <t>　31人
　　から
　40人
　　まで</t>
    <rPh sb="3" eb="4">
      <t>ニン</t>
    </rPh>
    <rPh sb="13" eb="14">
      <t>ニン</t>
    </rPh>
    <phoneticPr fontId="3"/>
  </si>
  <si>
    <t>　41人
　　から
　50人
　　まで</t>
    <rPh sb="3" eb="4">
      <t>ニン</t>
    </rPh>
    <rPh sb="13" eb="14">
      <t>ニン</t>
    </rPh>
    <phoneticPr fontId="3"/>
  </si>
  <si>
    <t>　51人
　　から
　60人
　　まで</t>
    <rPh sb="3" eb="4">
      <t>ニン</t>
    </rPh>
    <rPh sb="13" eb="14">
      <t>ニン</t>
    </rPh>
    <phoneticPr fontId="3"/>
  </si>
  <si>
    <t>　61人
　　から
　70人
　　まで</t>
    <rPh sb="3" eb="4">
      <t>ニン</t>
    </rPh>
    <rPh sb="13" eb="14">
      <t>ニン</t>
    </rPh>
    <phoneticPr fontId="3"/>
  </si>
  <si>
    <t>　71人
　　から
　80人
　　まで</t>
    <rPh sb="3" eb="4">
      <t>ニン</t>
    </rPh>
    <rPh sb="13" eb="14">
      <t>ニン</t>
    </rPh>
    <phoneticPr fontId="3"/>
  </si>
  <si>
    <t>　81人
　　から
　90人
　　まで</t>
    <rPh sb="3" eb="4">
      <t>ニン</t>
    </rPh>
    <rPh sb="13" eb="14">
      <t>ニン</t>
    </rPh>
    <phoneticPr fontId="3"/>
  </si>
  <si>
    <t>　91人
　　から
　100人
　　まで</t>
    <rPh sb="3" eb="4">
      <t>ニン</t>
    </rPh>
    <rPh sb="14" eb="15">
      <t>ニン</t>
    </rPh>
    <phoneticPr fontId="3"/>
  </si>
  <si>
    <t>　101人
　　から
　110人
　　まで</t>
    <rPh sb="4" eb="5">
      <t>ニン</t>
    </rPh>
    <rPh sb="15" eb="16">
      <t>ニン</t>
    </rPh>
    <phoneticPr fontId="3"/>
  </si>
  <si>
    <t>　111人
　　から
　120人
　　まで</t>
    <rPh sb="4" eb="5">
      <t>ニン</t>
    </rPh>
    <rPh sb="15" eb="16">
      <t>ニン</t>
    </rPh>
    <phoneticPr fontId="3"/>
  </si>
  <si>
    <t>　121人
　　から
　130人
　　まで</t>
    <rPh sb="4" eb="5">
      <t>ニン</t>
    </rPh>
    <rPh sb="15" eb="16">
      <t>ニン</t>
    </rPh>
    <phoneticPr fontId="3"/>
  </si>
  <si>
    <t>　131人
　　から
　140人
　　まで</t>
    <rPh sb="4" eb="5">
      <t>ニン</t>
    </rPh>
    <rPh sb="15" eb="16">
      <t>ニン</t>
    </rPh>
    <phoneticPr fontId="3"/>
  </si>
  <si>
    <t>　141人
　　から
　150人
　　まで</t>
    <rPh sb="4" eb="5">
      <t>ニン</t>
    </rPh>
    <rPh sb="15" eb="16">
      <t>ニン</t>
    </rPh>
    <phoneticPr fontId="3"/>
  </si>
  <si>
    <t>　151人
　　から
　160人
　　まで</t>
    <rPh sb="4" eb="5">
      <t>ニン</t>
    </rPh>
    <rPh sb="15" eb="16">
      <t>ニン</t>
    </rPh>
    <phoneticPr fontId="3"/>
  </si>
  <si>
    <t>　161人
　　から
　170人
　　まで</t>
    <rPh sb="4" eb="5">
      <t>ニン</t>
    </rPh>
    <rPh sb="15" eb="16">
      <t>ニン</t>
    </rPh>
    <phoneticPr fontId="3"/>
  </si>
  <si>
    <t>　171人
　　以上</t>
    <rPh sb="4" eb="5">
      <t>ニン</t>
    </rPh>
    <rPh sb="8" eb="10">
      <t>イジョウ</t>
    </rPh>
    <phoneticPr fontId="3"/>
  </si>
  <si>
    <t>添付書類</t>
    <rPh sb="0" eb="2">
      <t>テンプ</t>
    </rPh>
    <rPh sb="2" eb="4">
      <t>ショルイ</t>
    </rPh>
    <phoneticPr fontId="1"/>
  </si>
  <si>
    <t>延長保育事業を実施している（短時間のみ可）</t>
    <rPh sb="0" eb="2">
      <t>エンチョウ</t>
    </rPh>
    <rPh sb="2" eb="4">
      <t>ホイク</t>
    </rPh>
    <rPh sb="4" eb="6">
      <t>ジギョウ</t>
    </rPh>
    <rPh sb="7" eb="9">
      <t>ジッシ</t>
    </rPh>
    <rPh sb="14" eb="17">
      <t>タンジカン</t>
    </rPh>
    <rPh sb="19" eb="20">
      <t>カ</t>
    </rPh>
    <phoneticPr fontId="1"/>
  </si>
  <si>
    <t>×</t>
    <phoneticPr fontId="1"/>
  </si>
  <si>
    <t>当月</t>
    <rPh sb="0" eb="2">
      <t>トウゲツ</t>
    </rPh>
    <phoneticPr fontId="1"/>
  </si>
  <si>
    <t>対象月</t>
    <rPh sb="0" eb="2">
      <t>タイショウ</t>
    </rPh>
    <rPh sb="2" eb="3">
      <t>ツキ</t>
    </rPh>
    <phoneticPr fontId="1"/>
  </si>
  <si>
    <t>初日利用児童のうち乳児が3人以上となった最初の月</t>
    <rPh sb="0" eb="2">
      <t>ショニチ</t>
    </rPh>
    <rPh sb="2" eb="4">
      <t>リヨウ</t>
    </rPh>
    <rPh sb="4" eb="6">
      <t>ジドウ</t>
    </rPh>
    <rPh sb="9" eb="11">
      <t>ニュウジ</t>
    </rPh>
    <rPh sb="13" eb="16">
      <t>ニンイジョウ</t>
    </rPh>
    <rPh sb="20" eb="22">
      <t>サイショ</t>
    </rPh>
    <rPh sb="23" eb="24">
      <t>ツキ</t>
    </rPh>
    <phoneticPr fontId="1"/>
  </si>
  <si>
    <t>月</t>
    <rPh sb="0" eb="1">
      <t>ガツ</t>
    </rPh>
    <phoneticPr fontId="1"/>
  </si>
  <si>
    <t>月初日において障がい児が1人以上利用となった最初の月</t>
    <rPh sb="0" eb="1">
      <t>ツキ</t>
    </rPh>
    <rPh sb="1" eb="3">
      <t>ショニチ</t>
    </rPh>
    <rPh sb="7" eb="8">
      <t>ショウ</t>
    </rPh>
    <rPh sb="10" eb="11">
      <t>ジ</t>
    </rPh>
    <rPh sb="13" eb="16">
      <t>ニンイジョウ</t>
    </rPh>
    <rPh sb="16" eb="18">
      <t>リヨウ</t>
    </rPh>
    <rPh sb="22" eb="24">
      <t>サイショ</t>
    </rPh>
    <rPh sb="25" eb="26">
      <t>ツキ</t>
    </rPh>
    <phoneticPr fontId="1"/>
  </si>
  <si>
    <t>dー都市部</t>
    <rPh sb="2" eb="5">
      <t>トシブ</t>
    </rPh>
    <phoneticPr fontId="1"/>
  </si>
  <si>
    <t>氏名</t>
    <rPh sb="0" eb="2">
      <t>シメイ</t>
    </rPh>
    <phoneticPr fontId="1"/>
  </si>
  <si>
    <t>※　チーム保育推進費加算の挙証書類とする場合は、備考欄等を使用しチーム保育体制が分かるようにご記載ください。</t>
    <rPh sb="5" eb="7">
      <t>ホイク</t>
    </rPh>
    <rPh sb="7" eb="9">
      <t>スイシン</t>
    </rPh>
    <rPh sb="9" eb="10">
      <t>ヒ</t>
    </rPh>
    <rPh sb="10" eb="12">
      <t>カサン</t>
    </rPh>
    <rPh sb="13" eb="15">
      <t>キョショウ</t>
    </rPh>
    <rPh sb="15" eb="17">
      <t>ショルイ</t>
    </rPh>
    <rPh sb="20" eb="22">
      <t>バアイ</t>
    </rPh>
    <rPh sb="24" eb="26">
      <t>ビコウ</t>
    </rPh>
    <rPh sb="26" eb="27">
      <t>ラン</t>
    </rPh>
    <rPh sb="27" eb="28">
      <t>トウ</t>
    </rPh>
    <rPh sb="29" eb="31">
      <t>シヨウ</t>
    </rPh>
    <rPh sb="35" eb="37">
      <t>ホイク</t>
    </rPh>
    <rPh sb="37" eb="39">
      <t>タイセイ</t>
    </rPh>
    <rPh sb="40" eb="41">
      <t>ワ</t>
    </rPh>
    <rPh sb="47" eb="49">
      <t>キサイ</t>
    </rPh>
    <phoneticPr fontId="3"/>
  </si>
  <si>
    <t>常勤・非常勤</t>
    <rPh sb="0" eb="2">
      <t>ジョウキン</t>
    </rPh>
    <rPh sb="3" eb="6">
      <t>ヒジョウキン</t>
    </rPh>
    <phoneticPr fontId="1"/>
  </si>
  <si>
    <t>減算</t>
    <rPh sb="0" eb="2">
      <t>ゲンサン</t>
    </rPh>
    <phoneticPr fontId="1"/>
  </si>
  <si>
    <t>２級地</t>
    <rPh sb="1" eb="2">
      <t>キュウ</t>
    </rPh>
    <rPh sb="2" eb="3">
      <t>チ</t>
    </rPh>
    <phoneticPr fontId="1"/>
  </si>
  <si>
    <t>日付</t>
    <rPh sb="0" eb="2">
      <t>ヒヅケ</t>
    </rPh>
    <phoneticPr fontId="1"/>
  </si>
  <si>
    <t>Ver.</t>
    <phoneticPr fontId="1"/>
  </si>
  <si>
    <t>変更項目</t>
    <rPh sb="0" eb="2">
      <t>ヘンコウ</t>
    </rPh>
    <rPh sb="2" eb="4">
      <t>コウモク</t>
    </rPh>
    <phoneticPr fontId="1"/>
  </si>
  <si>
    <t>初期</t>
    <rPh sb="0" eb="2">
      <t>ショキ</t>
    </rPh>
    <phoneticPr fontId="1"/>
  </si>
  <si>
    <t>↓加算適用を開始(変更)した月を入力してください。</t>
    <rPh sb="1" eb="3">
      <t>カサン</t>
    </rPh>
    <rPh sb="3" eb="5">
      <t>テキヨウ</t>
    </rPh>
    <rPh sb="6" eb="8">
      <t>カイシ</t>
    </rPh>
    <rPh sb="9" eb="11">
      <t>ヘンコウ</t>
    </rPh>
    <rPh sb="14" eb="15">
      <t>ツキ</t>
    </rPh>
    <rPh sb="16" eb="18">
      <t>ニュウリョク</t>
    </rPh>
    <phoneticPr fontId="1"/>
  </si>
  <si>
    <t>○</t>
    <phoneticPr fontId="1"/>
  </si>
  <si>
    <t>札幌市に適用施設はありません。</t>
    <rPh sb="0" eb="3">
      <t>サッポロシ</t>
    </rPh>
    <rPh sb="4" eb="6">
      <t>テキヨウ</t>
    </rPh>
    <rPh sb="6" eb="8">
      <t>シセツ</t>
    </rPh>
    <phoneticPr fontId="1"/>
  </si>
  <si>
    <t>・「該当の有無」について、該当する場合は「○」を選択すること。</t>
    <rPh sb="2" eb="4">
      <t>ガイトウ</t>
    </rPh>
    <rPh sb="5" eb="7">
      <t>ウム</t>
    </rPh>
    <phoneticPr fontId="1"/>
  </si>
  <si>
    <t>・「申請の有無」で申請するを選択し、加算要件等を全て満たしたうえで、添付書類を漏れなく添付した場合にのみ加算する。</t>
    <rPh sb="2" eb="4">
      <t>シンセイ</t>
    </rPh>
    <rPh sb="5" eb="7">
      <t>ウム</t>
    </rPh>
    <rPh sb="9" eb="11">
      <t>シンセイ</t>
    </rPh>
    <rPh sb="14" eb="16">
      <t>センタク</t>
    </rPh>
    <rPh sb="18" eb="20">
      <t>カサン</t>
    </rPh>
    <rPh sb="20" eb="22">
      <t>ヨウケン</t>
    </rPh>
    <rPh sb="22" eb="23">
      <t>トウ</t>
    </rPh>
    <rPh sb="24" eb="25">
      <t>スベ</t>
    </rPh>
    <rPh sb="34" eb="36">
      <t>テンプ</t>
    </rPh>
    <rPh sb="36" eb="38">
      <t>ショルイ</t>
    </rPh>
    <rPh sb="39" eb="40">
      <t>モ</t>
    </rPh>
    <rPh sb="43" eb="45">
      <t>テンプ</t>
    </rPh>
    <rPh sb="47" eb="49">
      <t>バアイ</t>
    </rPh>
    <rPh sb="52" eb="54">
      <t>カサン</t>
    </rPh>
    <phoneticPr fontId="1"/>
  </si>
  <si>
    <t>適否判定</t>
    <rPh sb="0" eb="2">
      <t>テキヒ</t>
    </rPh>
    <rPh sb="2" eb="4">
      <t>ハンテイ</t>
    </rPh>
    <phoneticPr fontId="1"/>
  </si>
  <si>
    <t>申請</t>
    <rPh sb="0" eb="2">
      <t>シンセイ</t>
    </rPh>
    <phoneticPr fontId="1"/>
  </si>
  <si>
    <t>○</t>
    <phoneticPr fontId="1"/>
  </si>
  <si>
    <t>申請する</t>
    <rPh sb="0" eb="2">
      <t>シンセイ</t>
    </rPh>
    <phoneticPr fontId="1"/>
  </si>
  <si>
    <t>×</t>
    <phoneticPr fontId="1"/>
  </si>
  <si>
    <t>申請しない</t>
    <rPh sb="0" eb="2">
      <t>シンセイ</t>
    </rPh>
    <phoneticPr fontId="1"/>
  </si>
  <si>
    <t>全月適用</t>
    <rPh sb="0" eb="1">
      <t>ゼン</t>
    </rPh>
    <rPh sb="1" eb="2">
      <t>ツキ</t>
    </rPh>
    <rPh sb="2" eb="4">
      <t>テキヨウ</t>
    </rPh>
    <phoneticPr fontId="1"/>
  </si>
  <si>
    <t>（判定）</t>
    <rPh sb="1" eb="3">
      <t>ハンテイ</t>
    </rPh>
    <phoneticPr fontId="1"/>
  </si>
  <si>
    <t>該当の有無</t>
    <rPh sb="0" eb="2">
      <t>ガイトウ</t>
    </rPh>
    <rPh sb="3" eb="5">
      <t>ウム</t>
    </rPh>
    <phoneticPr fontId="1"/>
  </si>
  <si>
    <t>①　</t>
    <phoneticPr fontId="1"/>
  </si>
  <si>
    <t>②</t>
    <phoneticPr fontId="1"/>
  </si>
  <si>
    <t>③</t>
    <phoneticPr fontId="1"/>
  </si>
  <si>
    <t>受講予定年月</t>
    <rPh sb="0" eb="2">
      <t>ジュコウ</t>
    </rPh>
    <rPh sb="2" eb="4">
      <t>ヨテイ</t>
    </rPh>
    <rPh sb="4" eb="6">
      <t>ネンゲツ</t>
    </rPh>
    <phoneticPr fontId="1"/>
  </si>
  <si>
    <t>月</t>
    <rPh sb="0" eb="1">
      <t>ガツ</t>
    </rPh>
    <phoneticPr fontId="1"/>
  </si>
  <si>
    <t>１　所長の経歴</t>
    <rPh sb="2" eb="4">
      <t>ショチョウ</t>
    </rPh>
    <rPh sb="5" eb="7">
      <t>ケイレキ</t>
    </rPh>
    <phoneticPr fontId="1"/>
  </si>
  <si>
    <t>氏名</t>
    <rPh sb="0" eb="2">
      <t>シメイ</t>
    </rPh>
    <phoneticPr fontId="1"/>
  </si>
  <si>
    <t>生年月日</t>
    <rPh sb="0" eb="2">
      <t>セイネン</t>
    </rPh>
    <rPh sb="2" eb="4">
      <t>ガッピ</t>
    </rPh>
    <phoneticPr fontId="1"/>
  </si>
  <si>
    <t>年齢</t>
    <rPh sb="0" eb="2">
      <t>ネンレイ</t>
    </rPh>
    <phoneticPr fontId="1"/>
  </si>
  <si>
    <t>基本情報</t>
    <rPh sb="0" eb="2">
      <t>キホン</t>
    </rPh>
    <rPh sb="2" eb="4">
      <t>ジョウホウ</t>
    </rPh>
    <phoneticPr fontId="1"/>
  </si>
  <si>
    <t>学歴</t>
    <rPh sb="0" eb="2">
      <t>ガクレキ</t>
    </rPh>
    <phoneticPr fontId="1"/>
  </si>
  <si>
    <t>項目</t>
    <rPh sb="0" eb="2">
      <t>コウモク</t>
    </rPh>
    <phoneticPr fontId="1"/>
  </si>
  <si>
    <t>住所</t>
    <rPh sb="0" eb="2">
      <t>ジュウショ</t>
    </rPh>
    <phoneticPr fontId="1"/>
  </si>
  <si>
    <t>入力欄</t>
    <rPh sb="0" eb="2">
      <t>ニュウリョク</t>
    </rPh>
    <rPh sb="2" eb="3">
      <t>ラン</t>
    </rPh>
    <phoneticPr fontId="1"/>
  </si>
  <si>
    <t>学校名と入学・中退・卒業等を記載</t>
    <rPh sb="0" eb="2">
      <t>ガッコウ</t>
    </rPh>
    <rPh sb="2" eb="3">
      <t>メイ</t>
    </rPh>
    <rPh sb="4" eb="5">
      <t>ニュウ</t>
    </rPh>
    <rPh sb="5" eb="6">
      <t>ガク</t>
    </rPh>
    <rPh sb="7" eb="9">
      <t>チュウタイ</t>
    </rPh>
    <rPh sb="10" eb="11">
      <t>ソツ</t>
    </rPh>
    <rPh sb="11" eb="12">
      <t>ギョウ</t>
    </rPh>
    <rPh sb="12" eb="13">
      <t>トウ</t>
    </rPh>
    <rPh sb="14" eb="16">
      <t>キサイ</t>
    </rPh>
    <phoneticPr fontId="1"/>
  </si>
  <si>
    <t>職歴</t>
    <rPh sb="0" eb="2">
      <t>ショクレキ</t>
    </rPh>
    <phoneticPr fontId="1"/>
  </si>
  <si>
    <t>会社名と経歴等を記載</t>
    <rPh sb="0" eb="3">
      <t>カイシャメイ</t>
    </rPh>
    <rPh sb="3" eb="4">
      <t>ガクメイ</t>
    </rPh>
    <rPh sb="4" eb="6">
      <t>ケイレキ</t>
    </rPh>
    <rPh sb="6" eb="7">
      <t>トウ</t>
    </rPh>
    <rPh sb="8" eb="10">
      <t>キサイ</t>
    </rPh>
    <phoneticPr fontId="1"/>
  </si>
  <si>
    <t>資格</t>
    <rPh sb="0" eb="2">
      <t>シカク</t>
    </rPh>
    <phoneticPr fontId="1"/>
  </si>
  <si>
    <t>資格名等を記載</t>
    <rPh sb="0" eb="2">
      <t>シカク</t>
    </rPh>
    <rPh sb="2" eb="3">
      <t>メイ</t>
    </rPh>
    <rPh sb="3" eb="4">
      <t>トウ</t>
    </rPh>
    <rPh sb="5" eb="7">
      <t>キサイ</t>
    </rPh>
    <phoneticPr fontId="1"/>
  </si>
  <si>
    <t>２　同一又は系列園での施設長の重複確認</t>
    <rPh sb="2" eb="4">
      <t>ドウイツ</t>
    </rPh>
    <rPh sb="4" eb="5">
      <t>マタ</t>
    </rPh>
    <rPh sb="6" eb="8">
      <t>ケイレツ</t>
    </rPh>
    <rPh sb="8" eb="9">
      <t>エン</t>
    </rPh>
    <rPh sb="11" eb="14">
      <t>シセツチョウ</t>
    </rPh>
    <rPh sb="15" eb="17">
      <t>チョウフク</t>
    </rPh>
    <rPh sb="17" eb="19">
      <t>カクニン</t>
    </rPh>
    <phoneticPr fontId="1"/>
  </si>
  <si>
    <t>　・施設の認可の有無は問わない(認可・認可外施設全て含んで、園長を兼務しているかどうかを確認します。)。</t>
    <rPh sb="2" eb="4">
      <t>シセツ</t>
    </rPh>
    <rPh sb="5" eb="7">
      <t>ニンカ</t>
    </rPh>
    <rPh sb="8" eb="10">
      <t>ウム</t>
    </rPh>
    <rPh sb="11" eb="12">
      <t>ト</t>
    </rPh>
    <rPh sb="16" eb="18">
      <t>ニンカ</t>
    </rPh>
    <rPh sb="19" eb="21">
      <t>ニンカ</t>
    </rPh>
    <rPh sb="21" eb="22">
      <t>ガイ</t>
    </rPh>
    <rPh sb="22" eb="24">
      <t>シセツ</t>
    </rPh>
    <rPh sb="24" eb="25">
      <t>スベ</t>
    </rPh>
    <rPh sb="26" eb="27">
      <t>フク</t>
    </rPh>
    <rPh sb="30" eb="32">
      <t>エンチョウ</t>
    </rPh>
    <rPh sb="33" eb="35">
      <t>ケンム</t>
    </rPh>
    <rPh sb="44" eb="46">
      <t>カクニン</t>
    </rPh>
    <phoneticPr fontId="1"/>
  </si>
  <si>
    <t>職種区分</t>
    <rPh sb="0" eb="2">
      <t>ショクシュ</t>
    </rPh>
    <rPh sb="2" eb="4">
      <t>クブン</t>
    </rPh>
    <phoneticPr fontId="1"/>
  </si>
  <si>
    <t>事務員</t>
    <rPh sb="0" eb="2">
      <t>ジム</t>
    </rPh>
    <rPh sb="2" eb="3">
      <t>イン</t>
    </rPh>
    <phoneticPr fontId="1"/>
  </si>
  <si>
    <t>申請月</t>
    <rPh sb="0" eb="2">
      <t>シンセイ</t>
    </rPh>
    <rPh sb="2" eb="3">
      <t>ツキ</t>
    </rPh>
    <phoneticPr fontId="1"/>
  </si>
  <si>
    <t>所在区</t>
    <rPh sb="0" eb="2">
      <t>ショザイ</t>
    </rPh>
    <rPh sb="2" eb="3">
      <t>ク</t>
    </rPh>
    <phoneticPr fontId="1"/>
  </si>
  <si>
    <t>施設種別</t>
    <rPh sb="0" eb="2">
      <t>シセツ</t>
    </rPh>
    <rPh sb="2" eb="4">
      <t>シュベツ</t>
    </rPh>
    <phoneticPr fontId="1"/>
  </si>
  <si>
    <t>中央区</t>
    <rPh sb="0" eb="3">
      <t>チュウオウク</t>
    </rPh>
    <phoneticPr fontId="1"/>
  </si>
  <si>
    <t>北区</t>
    <rPh sb="0" eb="2">
      <t>キタク</t>
    </rPh>
    <phoneticPr fontId="1"/>
  </si>
  <si>
    <t>東区</t>
    <rPh sb="0" eb="2">
      <t>ヒガシク</t>
    </rPh>
    <phoneticPr fontId="1"/>
  </si>
  <si>
    <t>白石区</t>
    <rPh sb="0" eb="3">
      <t>シロイシク</t>
    </rPh>
    <phoneticPr fontId="1"/>
  </si>
  <si>
    <t>厚別区</t>
    <rPh sb="0" eb="3">
      <t>アツベツク</t>
    </rPh>
    <phoneticPr fontId="1"/>
  </si>
  <si>
    <t>豊平区</t>
    <rPh sb="0" eb="3">
      <t>トヨヒラク</t>
    </rPh>
    <phoneticPr fontId="1"/>
  </si>
  <si>
    <t>清田区</t>
    <rPh sb="0" eb="3">
      <t>キヨタク</t>
    </rPh>
    <phoneticPr fontId="1"/>
  </si>
  <si>
    <t>南区</t>
    <rPh sb="0" eb="2">
      <t>ミナミク</t>
    </rPh>
    <phoneticPr fontId="1"/>
  </si>
  <si>
    <t>西区</t>
    <rPh sb="0" eb="2">
      <t>ニシク</t>
    </rPh>
    <phoneticPr fontId="1"/>
  </si>
  <si>
    <t>手稲区</t>
    <rPh sb="0" eb="3">
      <t>テイネク</t>
    </rPh>
    <phoneticPr fontId="1"/>
  </si>
  <si>
    <t>所在区</t>
    <rPh sb="0" eb="2">
      <t>ショザイ</t>
    </rPh>
    <rPh sb="2" eb="3">
      <t>ク</t>
    </rPh>
    <phoneticPr fontId="1"/>
  </si>
  <si>
    <t>施設名</t>
    <rPh sb="0" eb="2">
      <t>シセツ</t>
    </rPh>
    <rPh sb="2" eb="3">
      <t>メイ</t>
    </rPh>
    <phoneticPr fontId="1"/>
  </si>
  <si>
    <t>施設C</t>
    <rPh sb="0" eb="2">
      <t>シセツ</t>
    </rPh>
    <phoneticPr fontId="3"/>
  </si>
  <si>
    <t>公私</t>
    <rPh sb="0" eb="2">
      <t>コウシ</t>
    </rPh>
    <phoneticPr fontId="3"/>
  </si>
  <si>
    <t>種別</t>
    <rPh sb="0" eb="1">
      <t>シュ</t>
    </rPh>
    <rPh sb="1" eb="2">
      <t>ベツ</t>
    </rPh>
    <phoneticPr fontId="3"/>
  </si>
  <si>
    <t>区</t>
    <rPh sb="0" eb="1">
      <t>ク</t>
    </rPh>
    <phoneticPr fontId="3"/>
  </si>
  <si>
    <t>施設・事業所名</t>
    <rPh sb="0" eb="2">
      <t>シセツ</t>
    </rPh>
    <rPh sb="3" eb="5">
      <t>ジギョウ</t>
    </rPh>
    <rPh sb="5" eb="6">
      <t>ショ</t>
    </rPh>
    <rPh sb="6" eb="7">
      <t>メイ</t>
    </rPh>
    <phoneticPr fontId="3"/>
  </si>
  <si>
    <t>認定こども園認可定員内訳</t>
    <rPh sb="0" eb="2">
      <t>ニンテイ</t>
    </rPh>
    <rPh sb="5" eb="6">
      <t>エン</t>
    </rPh>
    <rPh sb="6" eb="8">
      <t>ニンカ</t>
    </rPh>
    <rPh sb="8" eb="10">
      <t>テイイン</t>
    </rPh>
    <rPh sb="10" eb="12">
      <t>ウチワケ</t>
    </rPh>
    <phoneticPr fontId="3"/>
  </si>
  <si>
    <t>認可定員</t>
    <phoneticPr fontId="3"/>
  </si>
  <si>
    <t>利用定員</t>
    <rPh sb="0" eb="2">
      <t>リヨウ</t>
    </rPh>
    <rPh sb="2" eb="4">
      <t>テイイン</t>
    </rPh>
    <phoneticPr fontId="3"/>
  </si>
  <si>
    <t>1号</t>
    <rPh sb="1" eb="2">
      <t>ゴウ</t>
    </rPh>
    <phoneticPr fontId="3"/>
  </si>
  <si>
    <t>2号</t>
    <rPh sb="1" eb="2">
      <t>ゴウ</t>
    </rPh>
    <phoneticPr fontId="3"/>
  </si>
  <si>
    <t>3号</t>
    <rPh sb="1" eb="2">
      <t>ゴウ</t>
    </rPh>
    <phoneticPr fontId="3"/>
  </si>
  <si>
    <t>3号（0歳）</t>
    <rPh sb="1" eb="2">
      <t>ゴウ</t>
    </rPh>
    <rPh sb="4" eb="5">
      <t>サイ</t>
    </rPh>
    <phoneticPr fontId="3"/>
  </si>
  <si>
    <t>3号（1･2歳）</t>
    <rPh sb="1" eb="2">
      <t>ゴウ</t>
    </rPh>
    <rPh sb="6" eb="7">
      <t>サイ</t>
    </rPh>
    <phoneticPr fontId="3"/>
  </si>
  <si>
    <t>3号合計</t>
    <rPh sb="1" eb="2">
      <t>ゴウ</t>
    </rPh>
    <rPh sb="2" eb="4">
      <t>ゴウケイ</t>
    </rPh>
    <phoneticPr fontId="3"/>
  </si>
  <si>
    <t>列2</t>
  </si>
  <si>
    <t>列3</t>
  </si>
  <si>
    <t>列4</t>
  </si>
  <si>
    <t>列5</t>
  </si>
  <si>
    <t>列6</t>
  </si>
  <si>
    <t>列7</t>
  </si>
  <si>
    <t>列8</t>
  </si>
  <si>
    <t>列9</t>
  </si>
  <si>
    <t>列10</t>
  </si>
  <si>
    <t>列11</t>
  </si>
  <si>
    <t>列12</t>
  </si>
  <si>
    <t>列13</t>
  </si>
  <si>
    <t>列132</t>
  </si>
  <si>
    <t>列14</t>
  </si>
  <si>
    <t>01私立</t>
  </si>
  <si>
    <t>中央区</t>
  </si>
  <si>
    <t>救世軍桑園保育所</t>
  </si>
  <si>
    <t>駒鳥保育所</t>
  </si>
  <si>
    <t>円山北町保育園</t>
  </si>
  <si>
    <t>愛育保育園</t>
  </si>
  <si>
    <t>山鼻保育園</t>
  </si>
  <si>
    <t>山鼻華園保育園</t>
  </si>
  <si>
    <t>幌南華園保育園</t>
  </si>
  <si>
    <t>宮の森保育園</t>
  </si>
  <si>
    <t>さより保育園</t>
  </si>
  <si>
    <t>つくしの子共同保育所</t>
  </si>
  <si>
    <t>吉田学園くりの木保育園</t>
  </si>
  <si>
    <t>こうさい保育園</t>
  </si>
  <si>
    <t>アートチャイルドケア札幌桑園</t>
  </si>
  <si>
    <t>アスク桑園保育園</t>
  </si>
  <si>
    <t>啓明ともいき保育園</t>
  </si>
  <si>
    <t>ちゃいれっく北７条西保育園</t>
  </si>
  <si>
    <t>札幌時計台雲母保育園</t>
  </si>
  <si>
    <t>ニチイキッズ大通西１８丁目保育園</t>
  </si>
  <si>
    <t>こどもプラザ青い鳥</t>
  </si>
  <si>
    <t>ＮＯＶＡインターナショナルスクール</t>
  </si>
  <si>
    <t>北区</t>
  </si>
  <si>
    <t>あいの里協働保育園</t>
  </si>
  <si>
    <t>ドリームキッズ保育園</t>
  </si>
  <si>
    <t>アートチャイルドケア札幌百合が原</t>
  </si>
  <si>
    <t>新琴似南保育園</t>
  </si>
  <si>
    <t>屯田保育園</t>
  </si>
  <si>
    <t>愛和えるむ保育園</t>
  </si>
  <si>
    <t>幌北ゆりかご保育園</t>
  </si>
  <si>
    <t>札幌はこぶね保育園</t>
  </si>
  <si>
    <t>はぐくみ保育園</t>
  </si>
  <si>
    <t>子どもの園保育園</t>
  </si>
  <si>
    <t>アートチャイルドケア新琴似</t>
  </si>
  <si>
    <t>つばさ保育園</t>
  </si>
  <si>
    <t>アスク新琴似保育園</t>
  </si>
  <si>
    <t>アートチャイルドケア北大前</t>
  </si>
  <si>
    <t>スクルドエンジェル保育園新琴似園</t>
  </si>
  <si>
    <t>東区</t>
  </si>
  <si>
    <t>札苗保育園</t>
  </si>
  <si>
    <t>元町にこにこ保育園</t>
  </si>
  <si>
    <t>札苗北保育園</t>
  </si>
  <si>
    <t>ちゃいれっく北８条東保育園</t>
  </si>
  <si>
    <t>苗穂保育園</t>
  </si>
  <si>
    <t>札幌第２福ちゃん保育園</t>
  </si>
  <si>
    <t>札幌厚成福祉会第二保育所</t>
  </si>
  <si>
    <t>明園保育園</t>
  </si>
  <si>
    <t>はらっぱ保育園</t>
  </si>
  <si>
    <t>心の里親保育園</t>
  </si>
  <si>
    <t>元町保育園</t>
  </si>
  <si>
    <t>モエレはとポッポ保育園</t>
  </si>
  <si>
    <t>光星はとポッポ保育園</t>
  </si>
  <si>
    <t>栄町あおぞら保育園</t>
  </si>
  <si>
    <t>勤医協ぽぷら保育園</t>
  </si>
  <si>
    <t>愛和新穂保育園</t>
  </si>
  <si>
    <t>かりき保育園</t>
  </si>
  <si>
    <t>アートチャイルドケア札幌元町</t>
  </si>
  <si>
    <t>白石区</t>
  </si>
  <si>
    <t>東札幌かすたねっと保育園</t>
  </si>
  <si>
    <t>札幌愛隣舘第二保育園</t>
  </si>
  <si>
    <t>菊水元町保育園</t>
  </si>
  <si>
    <t>大谷地たかだ保育園</t>
  </si>
  <si>
    <t>南郷保育園</t>
  </si>
  <si>
    <t>東白石雪ん子保育園</t>
  </si>
  <si>
    <t>こぶし保育園</t>
  </si>
  <si>
    <t>北郷こぶし保育園</t>
  </si>
  <si>
    <t>アスク白石保育園</t>
  </si>
  <si>
    <t>ポピンズナーサリースクール札幌白石</t>
  </si>
  <si>
    <t>大藤子ども園</t>
  </si>
  <si>
    <t>ピッコロ子ども倶楽部東札幌園</t>
  </si>
  <si>
    <t>太陽の子札幌白石保育園</t>
  </si>
  <si>
    <t>米里保育園</t>
  </si>
  <si>
    <t>厚別区</t>
  </si>
  <si>
    <t>まごころ保育園</t>
  </si>
  <si>
    <t>ひばりが丘保育園</t>
  </si>
  <si>
    <t>青葉興正保育園</t>
  </si>
  <si>
    <t>もみじ台北保育園</t>
  </si>
  <si>
    <t>厚別共栄保育園</t>
  </si>
  <si>
    <t>もみじ台南保育園</t>
  </si>
  <si>
    <t>札幌協働保育園</t>
  </si>
  <si>
    <t>厚別こま草保育園</t>
  </si>
  <si>
    <t>新さっぽろとまと保育園</t>
  </si>
  <si>
    <t>豊平区</t>
  </si>
  <si>
    <t>札幌愛隣舘保育園</t>
  </si>
  <si>
    <t>札幌第１福ちゃん保育園</t>
  </si>
  <si>
    <t>西岡保育園</t>
  </si>
  <si>
    <t>札幌愛隣舘東山保育園</t>
  </si>
  <si>
    <t>札幌愛隣舘りんご保育園</t>
  </si>
  <si>
    <t>子どもの家保育園</t>
  </si>
  <si>
    <t>中の島興正保育園</t>
  </si>
  <si>
    <t>吉田学園やしの木保育園</t>
  </si>
  <si>
    <t>ピッコロ子ども倶楽部月寒園</t>
  </si>
  <si>
    <t>ピッコロ子ども倶楽部福住園</t>
  </si>
  <si>
    <t>乳幼児保育クラブぞうさん</t>
  </si>
  <si>
    <t>清田区</t>
  </si>
  <si>
    <t>札幌北野保育園</t>
  </si>
  <si>
    <t>札幌南清田保育園</t>
  </si>
  <si>
    <t>さわやか保育園</t>
  </si>
  <si>
    <t>札幌あさひ保育園</t>
  </si>
  <si>
    <t>札幌真栄東保育園</t>
  </si>
  <si>
    <t>南区</t>
  </si>
  <si>
    <t>真駒内保育園</t>
  </si>
  <si>
    <t>まこまないみどりまち保育園</t>
  </si>
  <si>
    <t>遊・Ｗｉｎｇ</t>
  </si>
  <si>
    <t>くまの子保育園</t>
  </si>
  <si>
    <t>藤ヶ丘保育園</t>
  </si>
  <si>
    <t>ルンビニー保育園</t>
  </si>
  <si>
    <t>西区</t>
  </si>
  <si>
    <t>発寒ひかり保育園</t>
  </si>
  <si>
    <t>西発寒保育園</t>
  </si>
  <si>
    <t>発寒たんぽぽ保育園</t>
  </si>
  <si>
    <t>西野中央保育園</t>
  </si>
  <si>
    <t>八軒星の子保育園</t>
  </si>
  <si>
    <t>こぐま保育園</t>
  </si>
  <si>
    <t>吉田学園さくら保育園</t>
  </si>
  <si>
    <t>発寒おおぞら保育園</t>
  </si>
  <si>
    <t>アートチャイルドケア琴似</t>
  </si>
  <si>
    <t>アートチャイルドケア札幌八軒</t>
  </si>
  <si>
    <t>発寒そらいろ保育園</t>
  </si>
  <si>
    <t>アートチャイルドケア札幌二十四軒</t>
  </si>
  <si>
    <t>ことに保育園</t>
  </si>
  <si>
    <t>西野ふれ愛保育園</t>
  </si>
  <si>
    <t>札幌宮の沢雲母保育園</t>
  </si>
  <si>
    <t>発寒もりのわ保育園</t>
  </si>
  <si>
    <t>手稲区</t>
  </si>
  <si>
    <t>新発寒たんぽぽ保育園</t>
  </si>
  <si>
    <t>宮の沢さくら保育園</t>
  </si>
  <si>
    <t>さより第２保育園</t>
  </si>
  <si>
    <t>つくし保育園</t>
  </si>
  <si>
    <t>札幌北陽保育園</t>
  </si>
  <si>
    <t>あすかぜ保育園</t>
  </si>
  <si>
    <t>札幌市大通保育園</t>
  </si>
  <si>
    <t>札幌市しせいかん保育園</t>
  </si>
  <si>
    <t>札幌市二十四軒南保育園</t>
  </si>
  <si>
    <t>集計</t>
  </si>
  <si>
    <t>12</t>
  </si>
  <si>
    <t>2号</t>
    <rPh sb="1" eb="2">
      <t>ゴウ</t>
    </rPh>
    <phoneticPr fontId="1"/>
  </si>
  <si>
    <t>3号</t>
    <rPh sb="1" eb="2">
      <t>ゴウ</t>
    </rPh>
    <phoneticPr fontId="1"/>
  </si>
  <si>
    <t>加算適用開始(変更)月</t>
    <rPh sb="0" eb="2">
      <t>カサン</t>
    </rPh>
    <rPh sb="2" eb="4">
      <t>テキヨウ</t>
    </rPh>
    <rPh sb="4" eb="6">
      <t>カイシ</t>
    </rPh>
    <rPh sb="7" eb="9">
      <t>ヘンコウ</t>
    </rPh>
    <rPh sb="10" eb="11">
      <t>ツキ</t>
    </rPh>
    <phoneticPr fontId="1"/>
  </si>
  <si>
    <t>人数</t>
    <rPh sb="0" eb="2">
      <t>ニンズウ</t>
    </rPh>
    <phoneticPr fontId="1"/>
  </si>
  <si>
    <t>時間</t>
    <rPh sb="0" eb="2">
      <t>ジカン</t>
    </rPh>
    <phoneticPr fontId="1"/>
  </si>
  <si>
    <t>※　学級担任は常勤専任である必要があります。</t>
    <rPh sb="2" eb="4">
      <t>ガッキュウ</t>
    </rPh>
    <rPh sb="4" eb="6">
      <t>タンニン</t>
    </rPh>
    <rPh sb="7" eb="9">
      <t>ジョウキン</t>
    </rPh>
    <rPh sb="9" eb="11">
      <t>センニン</t>
    </rPh>
    <rPh sb="14" eb="16">
      <t>ヒツヨウ</t>
    </rPh>
    <phoneticPr fontId="1"/>
  </si>
  <si>
    <t>副食費徴収免除加算(２号)</t>
    <rPh sb="0" eb="3">
      <t>フクショクヒ</t>
    </rPh>
    <rPh sb="3" eb="5">
      <t>チョウシュウ</t>
    </rPh>
    <rPh sb="5" eb="7">
      <t>メンジョ</t>
    </rPh>
    <rPh sb="7" eb="9">
      <t>カサン</t>
    </rPh>
    <rPh sb="11" eb="12">
      <t>ゴウ</t>
    </rPh>
    <phoneticPr fontId="1"/>
  </si>
  <si>
    <t>↓【判定】…個票を入力することで、申請の有無に「〇」又は該当する区分が表示されます。</t>
    <rPh sb="2" eb="4">
      <t>ハンテイ</t>
    </rPh>
    <rPh sb="6" eb="8">
      <t>コヒョウ</t>
    </rPh>
    <rPh sb="9" eb="11">
      <t>ニュウリョク</t>
    </rPh>
    <rPh sb="17" eb="19">
      <t>シンセイ</t>
    </rPh>
    <rPh sb="20" eb="22">
      <t>ウム</t>
    </rPh>
    <rPh sb="26" eb="27">
      <t>マタ</t>
    </rPh>
    <rPh sb="28" eb="30">
      <t>ガイトウ</t>
    </rPh>
    <rPh sb="32" eb="34">
      <t>クブン</t>
    </rPh>
    <rPh sb="35" eb="37">
      <t>ヒョウジ</t>
    </rPh>
    <phoneticPr fontId="1"/>
  </si>
  <si>
    <t>No.</t>
    <phoneticPr fontId="1"/>
  </si>
  <si>
    <t>札幌市確認</t>
    <rPh sb="0" eb="3">
      <t>サッポロシ</t>
    </rPh>
    <rPh sb="3" eb="5">
      <t>カクニン</t>
    </rPh>
    <phoneticPr fontId="1"/>
  </si>
  <si>
    <t>事務</t>
    <rPh sb="0" eb="2">
      <t>ジム</t>
    </rPh>
    <phoneticPr fontId="1"/>
  </si>
  <si>
    <t>当該加算を保育士の増員や職員の賃金改善に充てている。</t>
    <rPh sb="0" eb="2">
      <t>トウガイ</t>
    </rPh>
    <rPh sb="2" eb="4">
      <t>カサン</t>
    </rPh>
    <rPh sb="5" eb="8">
      <t>ホイクシ</t>
    </rPh>
    <rPh sb="9" eb="11">
      <t>ゾウイン</t>
    </rPh>
    <rPh sb="12" eb="14">
      <t>ショクイン</t>
    </rPh>
    <rPh sb="15" eb="17">
      <t>チンギン</t>
    </rPh>
    <rPh sb="17" eb="19">
      <t>カイゼン</t>
    </rPh>
    <rPh sb="20" eb="21">
      <t>ア</t>
    </rPh>
    <phoneticPr fontId="1"/>
  </si>
  <si>
    <t>①</t>
    <phoneticPr fontId="1"/>
  </si>
  <si>
    <t>加算額</t>
    <rPh sb="0" eb="3">
      <t>カサンガク</t>
    </rPh>
    <phoneticPr fontId="1"/>
  </si>
  <si>
    <t>人</t>
    <rPh sb="0" eb="1">
      <t>ニン</t>
    </rPh>
    <phoneticPr fontId="1"/>
  </si>
  <si>
    <t>×</t>
    <phoneticPr fontId="1"/>
  </si>
  <si>
    <t>（月人数）</t>
    <rPh sb="1" eb="2">
      <t>ツキ</t>
    </rPh>
    <rPh sb="2" eb="4">
      <t>ニンズウ</t>
    </rPh>
    <phoneticPr fontId="1"/>
  </si>
  <si>
    <t>（単価）</t>
    <rPh sb="1" eb="3">
      <t>タンカ</t>
    </rPh>
    <phoneticPr fontId="1"/>
  </si>
  <si>
    <t>＝</t>
    <phoneticPr fontId="1"/>
  </si>
  <si>
    <t>単価</t>
    <rPh sb="0" eb="2">
      <t>タンカ</t>
    </rPh>
    <phoneticPr fontId="1"/>
  </si>
  <si>
    <t>基礎分</t>
    <rPh sb="0" eb="2">
      <t>キソ</t>
    </rPh>
    <rPh sb="2" eb="3">
      <t>ブン</t>
    </rPh>
    <phoneticPr fontId="1"/>
  </si>
  <si>
    <t>＝</t>
    <phoneticPr fontId="1"/>
  </si>
  <si>
    <t>円/月</t>
    <rPh sb="0" eb="1">
      <t>エン</t>
    </rPh>
    <rPh sb="2" eb="3">
      <t>ツキ</t>
    </rPh>
    <phoneticPr fontId="1"/>
  </si>
  <si>
    <t>円/人</t>
    <rPh sb="0" eb="1">
      <t>エン</t>
    </rPh>
    <rPh sb="2" eb="3">
      <t>ニン</t>
    </rPh>
    <phoneticPr fontId="1"/>
  </si>
  <si>
    <t>②</t>
    <phoneticPr fontId="1"/>
  </si>
  <si>
    <t>職員の賃金改善に充てている(下記に具体的な配分方法を記載してください。)。</t>
    <rPh sb="0" eb="2">
      <t>ショクイン</t>
    </rPh>
    <rPh sb="3" eb="5">
      <t>チンギン</t>
    </rPh>
    <rPh sb="5" eb="7">
      <t>カイゼン</t>
    </rPh>
    <rPh sb="8" eb="9">
      <t>ア</t>
    </rPh>
    <rPh sb="14" eb="16">
      <t>カキ</t>
    </rPh>
    <rPh sb="17" eb="20">
      <t>グタイテキ</t>
    </rPh>
    <rPh sb="21" eb="23">
      <t>ハイブン</t>
    </rPh>
    <rPh sb="23" eb="25">
      <t>ホウホウ</t>
    </rPh>
    <rPh sb="26" eb="28">
      <t>キサイ</t>
    </rPh>
    <phoneticPr fontId="1"/>
  </si>
  <si>
    <t>地域の子育て支援活動等に取り組んでいる</t>
    <rPh sb="0" eb="2">
      <t>チイキ</t>
    </rPh>
    <rPh sb="3" eb="5">
      <t>コソダ</t>
    </rPh>
    <rPh sb="6" eb="8">
      <t>シエン</t>
    </rPh>
    <rPh sb="8" eb="10">
      <t>カツドウ</t>
    </rPh>
    <rPh sb="10" eb="11">
      <t>トウ</t>
    </rPh>
    <rPh sb="12" eb="13">
      <t>ト</t>
    </rPh>
    <rPh sb="14" eb="15">
      <t>ク</t>
    </rPh>
    <phoneticPr fontId="1"/>
  </si>
  <si>
    <t>（加算見込額）</t>
    <rPh sb="1" eb="3">
      <t>カサン</t>
    </rPh>
    <rPh sb="3" eb="5">
      <t>ミコ</t>
    </rPh>
    <rPh sb="5" eb="6">
      <t>ガク</t>
    </rPh>
    <phoneticPr fontId="1"/>
  </si>
  <si>
    <t>0　基本配置職員</t>
    <rPh sb="2" eb="4">
      <t>キホン</t>
    </rPh>
    <rPh sb="4" eb="6">
      <t>ハイチ</t>
    </rPh>
    <rPh sb="6" eb="8">
      <t>ショクイン</t>
    </rPh>
    <phoneticPr fontId="1"/>
  </si>
  <si>
    <t>①</t>
    <phoneticPr fontId="1"/>
  </si>
  <si>
    <t>②</t>
    <phoneticPr fontId="1"/>
  </si>
  <si>
    <t>業務委託している</t>
    <rPh sb="0" eb="2">
      <t>ギョウム</t>
    </rPh>
    <rPh sb="2" eb="4">
      <t>イタク</t>
    </rPh>
    <phoneticPr fontId="1"/>
  </si>
  <si>
    <t>直接雇用による配置</t>
    <rPh sb="0" eb="2">
      <t>チョクセツ</t>
    </rPh>
    <rPh sb="2" eb="4">
      <t>コヨウ</t>
    </rPh>
    <rPh sb="7" eb="9">
      <t>ハイチ</t>
    </rPh>
    <phoneticPr fontId="1"/>
  </si>
  <si>
    <t>③</t>
    <phoneticPr fontId="1"/>
  </si>
  <si>
    <t>嘱託医、嘱託歯科医</t>
    <rPh sb="0" eb="2">
      <t>ショクタク</t>
    </rPh>
    <rPh sb="2" eb="3">
      <t>イ</t>
    </rPh>
    <rPh sb="4" eb="6">
      <t>ショクタク</t>
    </rPh>
    <rPh sb="6" eb="8">
      <t>シカ</t>
    </rPh>
    <rPh sb="8" eb="9">
      <t>イ</t>
    </rPh>
    <phoneticPr fontId="1"/>
  </si>
  <si>
    <t>配置している</t>
    <rPh sb="0" eb="2">
      <t>ハイチ</t>
    </rPh>
    <phoneticPr fontId="1"/>
  </si>
  <si>
    <t>基本配置職員</t>
    <rPh sb="0" eb="2">
      <t>キホン</t>
    </rPh>
    <rPh sb="2" eb="4">
      <t>ハイチ</t>
    </rPh>
    <rPh sb="4" eb="6">
      <t>ショクイン</t>
    </rPh>
    <phoneticPr fontId="1"/>
  </si>
  <si>
    <t>非常勤事務</t>
    <rPh sb="0" eb="3">
      <t>ヒジョウキン</t>
    </rPh>
    <rPh sb="3" eb="5">
      <t>ジム</t>
    </rPh>
    <phoneticPr fontId="1"/>
  </si>
  <si>
    <t>配置状況</t>
    <rPh sb="0" eb="2">
      <t>ハイチ</t>
    </rPh>
    <rPh sb="2" eb="4">
      <t>ジョウキョウ</t>
    </rPh>
    <phoneticPr fontId="1"/>
  </si>
  <si>
    <t>配置要件
（１～３の全てを配置すること）</t>
    <rPh sb="0" eb="2">
      <t>ハイチ</t>
    </rPh>
    <rPh sb="2" eb="4">
      <t>ヨウケン</t>
    </rPh>
    <rPh sb="10" eb="11">
      <t>スベ</t>
    </rPh>
    <rPh sb="13" eb="15">
      <t>ハイチ</t>
    </rPh>
    <phoneticPr fontId="1"/>
  </si>
  <si>
    <t>※</t>
    <phoneticPr fontId="1"/>
  </si>
  <si>
    <t>全部を業務委託又は搬入施設からの食事の搬入をしている</t>
    <rPh sb="0" eb="2">
      <t>ゼンブ</t>
    </rPh>
    <rPh sb="3" eb="5">
      <t>ギョウム</t>
    </rPh>
    <rPh sb="5" eb="7">
      <t>イタク</t>
    </rPh>
    <rPh sb="7" eb="8">
      <t>マタ</t>
    </rPh>
    <rPh sb="9" eb="11">
      <t>ハンニュウ</t>
    </rPh>
    <rPh sb="11" eb="13">
      <t>シセツ</t>
    </rPh>
    <rPh sb="16" eb="18">
      <t>ショクジ</t>
    </rPh>
    <rPh sb="19" eb="21">
      <t>ハンニュウ</t>
    </rPh>
    <phoneticPr fontId="1"/>
  </si>
  <si>
    <t>休日等を含めて年間を通じて開所している</t>
    <rPh sb="0" eb="2">
      <t>キュウジツ</t>
    </rPh>
    <rPh sb="2" eb="3">
      <t>トウ</t>
    </rPh>
    <rPh sb="4" eb="5">
      <t>フク</t>
    </rPh>
    <rPh sb="7" eb="9">
      <t>ネンカン</t>
    </rPh>
    <rPh sb="10" eb="11">
      <t>ツウ</t>
    </rPh>
    <rPh sb="13" eb="15">
      <t>カイショ</t>
    </rPh>
    <phoneticPr fontId="1"/>
  </si>
  <si>
    <t>利用児童数表</t>
    <rPh sb="0" eb="2">
      <t>リヨウ</t>
    </rPh>
    <rPh sb="2" eb="4">
      <t>ジドウ</t>
    </rPh>
    <rPh sb="4" eb="5">
      <t>スウ</t>
    </rPh>
    <rPh sb="5" eb="6">
      <t>ヒョウ</t>
    </rPh>
    <phoneticPr fontId="1"/>
  </si>
  <si>
    <t>　老朽化等を理由として改修等が必要であったと市町村が認めている</t>
    <phoneticPr fontId="1"/>
  </si>
  <si>
    <t>賃借料加算の対象となっていない
(減価償却費加算と賃借料加算は同時に受けられません)</t>
    <rPh sb="0" eb="3">
      <t>チンシャクリョウ</t>
    </rPh>
    <rPh sb="3" eb="5">
      <t>カサン</t>
    </rPh>
    <rPh sb="6" eb="8">
      <t>タイショウ</t>
    </rPh>
    <rPh sb="17" eb="19">
      <t>ゲンカ</t>
    </rPh>
    <rPh sb="19" eb="21">
      <t>ショウキャク</t>
    </rPh>
    <rPh sb="21" eb="22">
      <t>ヒ</t>
    </rPh>
    <rPh sb="22" eb="24">
      <t>カサン</t>
    </rPh>
    <rPh sb="25" eb="28">
      <t>チンシャクリョウ</t>
    </rPh>
    <rPh sb="28" eb="30">
      <t>カサン</t>
    </rPh>
    <rPh sb="31" eb="33">
      <t>ドウジ</t>
    </rPh>
    <rPh sb="34" eb="35">
      <t>ウ</t>
    </rPh>
    <phoneticPr fontId="1"/>
  </si>
  <si>
    <t>全ての施設に適用されます。</t>
    <rPh sb="0" eb="1">
      <t>スベ</t>
    </rPh>
    <rPh sb="3" eb="5">
      <t>シセツ</t>
    </rPh>
    <rPh sb="6" eb="8">
      <t>テキヨウ</t>
    </rPh>
    <phoneticPr fontId="1"/>
  </si>
  <si>
    <t>○</t>
    <phoneticPr fontId="1"/>
  </si>
  <si>
    <t>※　利用定員は必要に応じて上書きすること(青色セル)。</t>
    <phoneticPr fontId="1"/>
  </si>
  <si>
    <t>※　西暦で入力すること</t>
    <rPh sb="2" eb="4">
      <t>セイレキ</t>
    </rPh>
    <rPh sb="5" eb="7">
      <t>ニュウリョク</t>
    </rPh>
    <phoneticPr fontId="1"/>
  </si>
  <si>
    <t>施設型給付認定開始年月</t>
    <rPh sb="0" eb="3">
      <t>シセツガタ</t>
    </rPh>
    <rPh sb="3" eb="5">
      <t>キュウフ</t>
    </rPh>
    <rPh sb="5" eb="7">
      <t>ニンテイ</t>
    </rPh>
    <rPh sb="7" eb="9">
      <t>カイシ</t>
    </rPh>
    <rPh sb="9" eb="11">
      <t>ネンゲツ</t>
    </rPh>
    <phoneticPr fontId="1"/>
  </si>
  <si>
    <t>↓判定が○となった場合のみ</t>
    <rPh sb="1" eb="3">
      <t>ハンテイ</t>
    </rPh>
    <rPh sb="9" eb="11">
      <t>バアイ</t>
    </rPh>
    <phoneticPr fontId="1"/>
  </si>
  <si>
    <t>減算解除要件</t>
    <rPh sb="0" eb="2">
      <t>ゲンサン</t>
    </rPh>
    <rPh sb="2" eb="4">
      <t>カイジョ</t>
    </rPh>
    <rPh sb="4" eb="6">
      <t>ヨウケン</t>
    </rPh>
    <phoneticPr fontId="1"/>
  </si>
  <si>
    <t>12　定員を恒常的に超過する場合</t>
    <rPh sb="3" eb="5">
      <t>テイイン</t>
    </rPh>
    <rPh sb="6" eb="9">
      <t>コウジョウテキ</t>
    </rPh>
    <rPh sb="10" eb="12">
      <t>チョウカ</t>
    </rPh>
    <rPh sb="14" eb="16">
      <t>バアイ</t>
    </rPh>
    <phoneticPr fontId="1"/>
  </si>
  <si>
    <t>13　主任保育士専任加算</t>
    <rPh sb="3" eb="5">
      <t>シュニン</t>
    </rPh>
    <rPh sb="5" eb="8">
      <t>ホイクシ</t>
    </rPh>
    <rPh sb="8" eb="10">
      <t>センニン</t>
    </rPh>
    <rPh sb="10" eb="12">
      <t>カサン</t>
    </rPh>
    <phoneticPr fontId="1"/>
  </si>
  <si>
    <t>下記の事業のうち２つ以上を実施している</t>
    <rPh sb="0" eb="2">
      <t>カキ</t>
    </rPh>
    <rPh sb="3" eb="5">
      <t>ジギョウ</t>
    </rPh>
    <rPh sb="10" eb="12">
      <t>イジョウ</t>
    </rPh>
    <rPh sb="13" eb="15">
      <t>ジッシ</t>
    </rPh>
    <phoneticPr fontId="1"/>
  </si>
  <si>
    <t>④</t>
    <phoneticPr fontId="1"/>
  </si>
  <si>
    <t>⑤</t>
    <phoneticPr fontId="1"/>
  </si>
  <si>
    <t>加算要件
（１～４の要件全てに該当する場合に加算）</t>
    <phoneticPr fontId="1"/>
  </si>
  <si>
    <t>加算要件
（１～４の要件全てに該当する場合に加算）</t>
    <rPh sb="0" eb="2">
      <t>カサン</t>
    </rPh>
    <rPh sb="2" eb="4">
      <t>ヨウケン</t>
    </rPh>
    <phoneticPr fontId="1"/>
  </si>
  <si>
    <t>加算要件
(１～４の要件全てに該当する場合に加算)</t>
    <rPh sb="0" eb="2">
      <t>カサン</t>
    </rPh>
    <rPh sb="2" eb="4">
      <t>ヨウケン</t>
    </rPh>
    <rPh sb="11" eb="13">
      <t>ヨウケン</t>
    </rPh>
    <rPh sb="13" eb="14">
      <t>スベ</t>
    </rPh>
    <rPh sb="16" eb="18">
      <t>ガイトウ</t>
    </rPh>
    <rPh sb="20" eb="22">
      <t>バアイ</t>
    </rPh>
    <rPh sb="23" eb="25">
      <t>カサン</t>
    </rPh>
    <phoneticPr fontId="1"/>
  </si>
  <si>
    <t>月初日時点で障がい児を受け入れている</t>
    <rPh sb="0" eb="1">
      <t>ツキ</t>
    </rPh>
    <rPh sb="1" eb="3">
      <t>ショニチ</t>
    </rPh>
    <rPh sb="3" eb="5">
      <t>ジテン</t>
    </rPh>
    <rPh sb="6" eb="7">
      <t>ショウ</t>
    </rPh>
    <rPh sb="9" eb="10">
      <t>ジ</t>
    </rPh>
    <rPh sb="11" eb="12">
      <t>ウ</t>
    </rPh>
    <rPh sb="13" eb="14">
      <t>イ</t>
    </rPh>
    <phoneticPr fontId="1"/>
  </si>
  <si>
    <t>加算要件
（１～４の要件全てに該当している場合に加算）</t>
    <rPh sb="0" eb="2">
      <t>カサン</t>
    </rPh>
    <rPh sb="2" eb="4">
      <t>ヨウケン</t>
    </rPh>
    <phoneticPr fontId="1"/>
  </si>
  <si>
    <t>それ以外の障がい児</t>
    <rPh sb="2" eb="4">
      <t>イガイ</t>
    </rPh>
    <rPh sb="5" eb="6">
      <t>ショウ</t>
    </rPh>
    <rPh sb="8" eb="9">
      <t>ジ</t>
    </rPh>
    <phoneticPr fontId="1"/>
  </si>
  <si>
    <t>項目</t>
    <rPh sb="0" eb="2">
      <t>コウモク</t>
    </rPh>
    <phoneticPr fontId="1"/>
  </si>
  <si>
    <t>下記の事業のうち１つ以上を実施している</t>
    <rPh sb="0" eb="2">
      <t>カキ</t>
    </rPh>
    <rPh sb="3" eb="5">
      <t>ジギョウ</t>
    </rPh>
    <rPh sb="10" eb="12">
      <t>イジョウ</t>
    </rPh>
    <rPh sb="13" eb="15">
      <t>ジッシ</t>
    </rPh>
    <phoneticPr fontId="1"/>
  </si>
  <si>
    <t>加算要件
（１～２の要件全てに該当している場合に加算）</t>
    <rPh sb="0" eb="2">
      <t>カサン</t>
    </rPh>
    <rPh sb="2" eb="4">
      <t>ヨウケン</t>
    </rPh>
    <rPh sb="11" eb="13">
      <t>ヨウケン</t>
    </rPh>
    <rPh sb="13" eb="14">
      <t>スベ</t>
    </rPh>
    <rPh sb="16" eb="18">
      <t>ガイトウ</t>
    </rPh>
    <rPh sb="22" eb="24">
      <t>バアイ</t>
    </rPh>
    <rPh sb="25" eb="27">
      <t>カサン</t>
    </rPh>
    <phoneticPr fontId="1"/>
  </si>
  <si>
    <t>14　療育支援加算</t>
    <rPh sb="3" eb="5">
      <t>リョウイク</t>
    </rPh>
    <rPh sb="5" eb="7">
      <t>シエン</t>
    </rPh>
    <rPh sb="7" eb="9">
      <t>カサン</t>
    </rPh>
    <phoneticPr fontId="1"/>
  </si>
  <si>
    <t>15　事務職員雇上費加算</t>
    <rPh sb="3" eb="5">
      <t>ジム</t>
    </rPh>
    <rPh sb="5" eb="7">
      <t>ショクイン</t>
    </rPh>
    <rPh sb="7" eb="8">
      <t>ヤトイ</t>
    </rPh>
    <rPh sb="8" eb="9">
      <t>ア</t>
    </rPh>
    <rPh sb="9" eb="10">
      <t>ヒ</t>
    </rPh>
    <rPh sb="10" eb="12">
      <t>カサン</t>
    </rPh>
    <phoneticPr fontId="1"/>
  </si>
  <si>
    <t>16　処遇改善等加算Ⅱ</t>
    <phoneticPr fontId="1"/>
  </si>
  <si>
    <t>チーム</t>
    <phoneticPr fontId="1"/>
  </si>
  <si>
    <t>列133</t>
  </si>
  <si>
    <t>分園(内数)/従業員枠（外数）</t>
    <rPh sb="0" eb="2">
      <t>ブンエン</t>
    </rPh>
    <rPh sb="3" eb="5">
      <t>ウチスウ</t>
    </rPh>
    <rPh sb="7" eb="10">
      <t>ジュウギョウイン</t>
    </rPh>
    <rPh sb="10" eb="11">
      <t>ワク</t>
    </rPh>
    <rPh sb="12" eb="13">
      <t>ソト</t>
    </rPh>
    <rPh sb="13" eb="14">
      <t>スウ</t>
    </rPh>
    <phoneticPr fontId="3"/>
  </si>
  <si>
    <t>（うち２号）</t>
    <rPh sb="4" eb="5">
      <t>ゴウ</t>
    </rPh>
    <phoneticPr fontId="3"/>
  </si>
  <si>
    <t>事務職員雇上費加算</t>
    <rPh sb="0" eb="2">
      <t>ジム</t>
    </rPh>
    <rPh sb="2" eb="4">
      <t>ショクイン</t>
    </rPh>
    <rPh sb="4" eb="5">
      <t>ヤトイ</t>
    </rPh>
    <rPh sb="5" eb="6">
      <t>ア</t>
    </rPh>
    <rPh sb="6" eb="7">
      <t>ヒ</t>
    </rPh>
    <rPh sb="7" eb="9">
      <t>カサン</t>
    </rPh>
    <phoneticPr fontId="1"/>
  </si>
  <si>
    <t>※1　複数選ぶとエラーとなります</t>
    <rPh sb="3" eb="5">
      <t>フクスウ</t>
    </rPh>
    <rPh sb="5" eb="6">
      <t>エラ</t>
    </rPh>
    <phoneticPr fontId="1"/>
  </si>
  <si>
    <t>※１　要件を満たした月以降の各月においては、同一年度内に限り、事業を実施する体制が取られていることをもって当該要件を満たしているものと取り扱う。</t>
    <phoneticPr fontId="1"/>
  </si>
  <si>
    <t>ア</t>
    <phoneticPr fontId="1"/>
  </si>
  <si>
    <t>イ</t>
    <phoneticPr fontId="1"/>
  </si>
  <si>
    <t>年度内最初開始月</t>
    <rPh sb="0" eb="3">
      <t>ネンドナイ</t>
    </rPh>
    <rPh sb="3" eb="5">
      <t>サイショ</t>
    </rPh>
    <rPh sb="5" eb="7">
      <t>カイシ</t>
    </rPh>
    <rPh sb="7" eb="8">
      <t>ツキ</t>
    </rPh>
    <phoneticPr fontId="1"/>
  </si>
  <si>
    <t>４月：</t>
    <rPh sb="1" eb="2">
      <t>ガツ</t>
    </rPh>
    <phoneticPr fontId="1"/>
  </si>
  <si>
    <t>５月：</t>
    <rPh sb="1" eb="2">
      <t>ガツ</t>
    </rPh>
    <phoneticPr fontId="1"/>
  </si>
  <si>
    <t>６月：</t>
    <rPh sb="1" eb="2">
      <t>ガツ</t>
    </rPh>
    <phoneticPr fontId="1"/>
  </si>
  <si>
    <t>７月：</t>
    <rPh sb="1" eb="2">
      <t>ガツ</t>
    </rPh>
    <phoneticPr fontId="1"/>
  </si>
  <si>
    <t>８月：</t>
    <rPh sb="1" eb="2">
      <t>ガツ</t>
    </rPh>
    <phoneticPr fontId="1"/>
  </si>
  <si>
    <t>９月：</t>
    <rPh sb="1" eb="2">
      <t>ガツ</t>
    </rPh>
    <phoneticPr fontId="1"/>
  </si>
  <si>
    <t>10月：</t>
    <rPh sb="2" eb="3">
      <t>ガツ</t>
    </rPh>
    <phoneticPr fontId="1"/>
  </si>
  <si>
    <t>11月：</t>
    <rPh sb="2" eb="3">
      <t>ガツ</t>
    </rPh>
    <phoneticPr fontId="1"/>
  </si>
  <si>
    <t>12月：</t>
    <rPh sb="2" eb="3">
      <t>ガツ</t>
    </rPh>
    <phoneticPr fontId="1"/>
  </si>
  <si>
    <t>１月：</t>
    <rPh sb="1" eb="2">
      <t>ガツ</t>
    </rPh>
    <phoneticPr fontId="1"/>
  </si>
  <si>
    <t>２月：</t>
    <rPh sb="1" eb="2">
      <t>ガツ</t>
    </rPh>
    <phoneticPr fontId="1"/>
  </si>
  <si>
    <t>３月：</t>
    <rPh sb="1" eb="2">
      <t>ガツ</t>
    </rPh>
    <phoneticPr fontId="1"/>
  </si>
  <si>
    <t>月</t>
    <rPh sb="0" eb="1">
      <t>ツキ</t>
    </rPh>
    <phoneticPr fontId="1"/>
  </si>
  <si>
    <t>換算月</t>
    <rPh sb="0" eb="2">
      <t>カンサン</t>
    </rPh>
    <rPh sb="2" eb="3">
      <t>ツキ</t>
    </rPh>
    <phoneticPr fontId="1"/>
  </si>
  <si>
    <t>対象</t>
    <rPh sb="0" eb="2">
      <t>タイショウ</t>
    </rPh>
    <phoneticPr fontId="1"/>
  </si>
  <si>
    <t>d地域-都市部</t>
    <rPh sb="1" eb="3">
      <t>チイキ</t>
    </rPh>
    <rPh sb="4" eb="7">
      <t>トシブ</t>
    </rPh>
    <phoneticPr fontId="1"/>
  </si>
  <si>
    <t>３月のみ加算</t>
    <rPh sb="1" eb="2">
      <t>ガツ</t>
    </rPh>
    <rPh sb="4" eb="6">
      <t>カサン</t>
    </rPh>
    <phoneticPr fontId="1"/>
  </si>
  <si>
    <t>※　減算適用の有無にかかわらず下記を記載すること</t>
    <phoneticPr fontId="1"/>
  </si>
  <si>
    <t>直前の連続する5年度間常に利用定員を超えている。</t>
    <rPh sb="0" eb="2">
      <t>チョクゼン</t>
    </rPh>
    <rPh sb="3" eb="5">
      <t>レンゾク</t>
    </rPh>
    <rPh sb="8" eb="9">
      <t>ネン</t>
    </rPh>
    <rPh sb="9" eb="10">
      <t>ド</t>
    </rPh>
    <rPh sb="10" eb="11">
      <t>カン</t>
    </rPh>
    <rPh sb="11" eb="12">
      <t>ツネ</t>
    </rPh>
    <rPh sb="13" eb="15">
      <t>リヨウ</t>
    </rPh>
    <rPh sb="15" eb="17">
      <t>テイイン</t>
    </rPh>
    <rPh sb="18" eb="19">
      <t>コ</t>
    </rPh>
    <phoneticPr fontId="1"/>
  </si>
  <si>
    <t>減算要件
（1～2の要件を全て満たす場合減算）</t>
    <rPh sb="0" eb="2">
      <t>ゲンサン</t>
    </rPh>
    <rPh sb="2" eb="4">
      <t>ヨウケン</t>
    </rPh>
    <rPh sb="10" eb="12">
      <t>ヨウケン</t>
    </rPh>
    <rPh sb="13" eb="14">
      <t>スベ</t>
    </rPh>
    <rPh sb="15" eb="16">
      <t>ミ</t>
    </rPh>
    <rPh sb="18" eb="20">
      <t>バアイ</t>
    </rPh>
    <rPh sb="20" eb="22">
      <t>ゲンサン</t>
    </rPh>
    <phoneticPr fontId="1"/>
  </si>
  <si>
    <t>年</t>
    <rPh sb="0" eb="1">
      <t>ネン</t>
    </rPh>
    <phoneticPr fontId="3"/>
  </si>
  <si>
    <t>月</t>
    <rPh sb="0" eb="1">
      <t>ガツ</t>
    </rPh>
    <phoneticPr fontId="3"/>
  </si>
  <si>
    <t>非常勤職員勤務シフト表</t>
    <rPh sb="0" eb="3">
      <t>ヒジョウキン</t>
    </rPh>
    <rPh sb="3" eb="5">
      <t>ショクイン</t>
    </rPh>
    <rPh sb="5" eb="7">
      <t>キンム</t>
    </rPh>
    <rPh sb="10" eb="11">
      <t>ヒョウ</t>
    </rPh>
    <phoneticPr fontId="3"/>
  </si>
  <si>
    <t>値</t>
    <rPh sb="0" eb="1">
      <t>アタイ</t>
    </rPh>
    <phoneticPr fontId="3"/>
  </si>
  <si>
    <t>○</t>
    <phoneticPr fontId="3"/>
  </si>
  <si>
    <t>時</t>
    <rPh sb="0" eb="1">
      <t>トキ</t>
    </rPh>
    <phoneticPr fontId="3"/>
  </si>
  <si>
    <t>時間</t>
    <rPh sb="0" eb="2">
      <t>ジカン</t>
    </rPh>
    <phoneticPr fontId="3"/>
  </si>
  <si>
    <t>月</t>
    <rPh sb="0" eb="1">
      <t>ツキ</t>
    </rPh>
    <phoneticPr fontId="3"/>
  </si>
  <si>
    <t>曜日</t>
    <rPh sb="0" eb="2">
      <t>ヨウビ</t>
    </rPh>
    <phoneticPr fontId="3"/>
  </si>
  <si>
    <t>（日）</t>
    <rPh sb="1" eb="2">
      <t>ニチ</t>
    </rPh>
    <phoneticPr fontId="3"/>
  </si>
  <si>
    <t>（月）</t>
    <rPh sb="1" eb="2">
      <t>ゲツ</t>
    </rPh>
    <phoneticPr fontId="3"/>
  </si>
  <si>
    <t>（火）</t>
    <rPh sb="1" eb="2">
      <t>ヒ</t>
    </rPh>
    <phoneticPr fontId="3"/>
  </si>
  <si>
    <t>（水）</t>
    <rPh sb="1" eb="2">
      <t>スイ</t>
    </rPh>
    <phoneticPr fontId="3"/>
  </si>
  <si>
    <t>（木）</t>
    <rPh sb="1" eb="2">
      <t>キ</t>
    </rPh>
    <phoneticPr fontId="3"/>
  </si>
  <si>
    <t>（金）</t>
    <rPh sb="1" eb="2">
      <t>キン</t>
    </rPh>
    <phoneticPr fontId="3"/>
  </si>
  <si>
    <t>（土）</t>
    <rPh sb="1" eb="2">
      <t>ド</t>
    </rPh>
    <phoneticPr fontId="3"/>
  </si>
  <si>
    <t>分</t>
    <rPh sb="0" eb="1">
      <t>フン</t>
    </rPh>
    <phoneticPr fontId="3"/>
  </si>
  <si>
    <t>氏名</t>
    <rPh sb="0" eb="2">
      <t>シメイ</t>
    </rPh>
    <phoneticPr fontId="3"/>
  </si>
  <si>
    <t>日にち</t>
    <rPh sb="0" eb="1">
      <t>ニチ</t>
    </rPh>
    <phoneticPr fontId="3"/>
  </si>
  <si>
    <t>曜日</t>
    <rPh sb="0" eb="1">
      <t>ヨウビ</t>
    </rPh>
    <rPh sb="1" eb="2">
      <t>ビ</t>
    </rPh>
    <phoneticPr fontId="3"/>
  </si>
  <si>
    <t>時間数</t>
    <rPh sb="0" eb="3">
      <t>ジカンスウ</t>
    </rPh>
    <phoneticPr fontId="3"/>
  </si>
  <si>
    <t>【祝日情報】</t>
    <rPh sb="1" eb="3">
      <t>シュクジツ</t>
    </rPh>
    <rPh sb="3" eb="5">
      <t>ジョウホウ</t>
    </rPh>
    <phoneticPr fontId="3"/>
  </si>
  <si>
    <r>
      <t>当該シートに祝日を入力すると、利用状況表で対応する日が「</t>
    </r>
    <r>
      <rPr>
        <sz val="12"/>
        <color rgb="FFFF0000"/>
        <rFont val="ＭＳ Ｐゴシック"/>
        <family val="3"/>
        <charset val="128"/>
      </rPr>
      <t>赤表示</t>
    </r>
    <r>
      <rPr>
        <sz val="12"/>
        <rFont val="ＭＳ Ｐゴシック"/>
        <family val="3"/>
        <charset val="128"/>
      </rPr>
      <t>」になります。</t>
    </r>
    <rPh sb="0" eb="2">
      <t>トウガイ</t>
    </rPh>
    <rPh sb="6" eb="8">
      <t>シュクジツ</t>
    </rPh>
    <rPh sb="9" eb="11">
      <t>ニュウリョク</t>
    </rPh>
    <rPh sb="15" eb="17">
      <t>リヨウ</t>
    </rPh>
    <rPh sb="17" eb="19">
      <t>ジョウキョウ</t>
    </rPh>
    <rPh sb="19" eb="20">
      <t>ヒョウ</t>
    </rPh>
    <rPh sb="21" eb="23">
      <t>タイオウ</t>
    </rPh>
    <rPh sb="25" eb="26">
      <t>ヒ</t>
    </rPh>
    <rPh sb="28" eb="29">
      <t>アカ</t>
    </rPh>
    <rPh sb="29" eb="31">
      <t>ヒョウジ</t>
    </rPh>
    <phoneticPr fontId="3"/>
  </si>
  <si>
    <t>日付</t>
    <rPh sb="0" eb="2">
      <t>ヒヅケ</t>
    </rPh>
    <phoneticPr fontId="3"/>
  </si>
  <si>
    <t>祝日名</t>
    <rPh sb="0" eb="2">
      <t>シュクジツ</t>
    </rPh>
    <rPh sb="2" eb="3">
      <t>メイ</t>
    </rPh>
    <phoneticPr fontId="3"/>
  </si>
  <si>
    <t>元日</t>
  </si>
  <si>
    <t>成人の日</t>
  </si>
  <si>
    <t>建国記念の日</t>
  </si>
  <si>
    <t>春分の日</t>
  </si>
  <si>
    <t>天皇誕生日</t>
  </si>
  <si>
    <t>昭和の日</t>
  </si>
  <si>
    <t>憲法記念日</t>
  </si>
  <si>
    <t>みどりの日</t>
  </si>
  <si>
    <t>こどもの日</t>
  </si>
  <si>
    <t>海の日</t>
  </si>
  <si>
    <t>山の日</t>
  </si>
  <si>
    <t>敬老の日</t>
  </si>
  <si>
    <t>スポーツの日</t>
  </si>
  <si>
    <t>秋分の日</t>
  </si>
  <si>
    <t>文化の日</t>
  </si>
  <si>
    <t>勤労感謝の日</t>
  </si>
  <si>
    <t>&lt;職員名簿&gt;</t>
    <rPh sb="1" eb="3">
      <t>ショクイン</t>
    </rPh>
    <rPh sb="3" eb="5">
      <t>メイボ</t>
    </rPh>
    <phoneticPr fontId="1"/>
  </si>
  <si>
    <t>1　利用児童状況(クラス年齢)</t>
    <rPh sb="2" eb="4">
      <t>リヨウ</t>
    </rPh>
    <rPh sb="4" eb="6">
      <t>ジドウ</t>
    </rPh>
    <rPh sb="6" eb="8">
      <t>ジョウキョウ</t>
    </rPh>
    <rPh sb="12" eb="14">
      <t>ネンレイ</t>
    </rPh>
    <phoneticPr fontId="1"/>
  </si>
  <si>
    <t>高齢者等活躍促進加算</t>
    <rPh sb="0" eb="8">
      <t>コウレイシャトウカツヤクソクシン</t>
    </rPh>
    <rPh sb="8" eb="10">
      <t>カサン</t>
    </rPh>
    <phoneticPr fontId="1"/>
  </si>
  <si>
    <t>都市部</t>
    <rPh sb="0" eb="3">
      <t>トシブ</t>
    </rPh>
    <phoneticPr fontId="1"/>
  </si>
  <si>
    <t>　分園が設置されている場合、中心園に所長を設置し以下の要件を全て満たす場合は、分園においても当該減算は適用されない。 　</t>
    <rPh sb="24" eb="26">
      <t>イカ</t>
    </rPh>
    <rPh sb="27" eb="29">
      <t>ヨウケン</t>
    </rPh>
    <rPh sb="30" eb="31">
      <t>スベ</t>
    </rPh>
    <rPh sb="32" eb="33">
      <t>ミ</t>
    </rPh>
    <rPh sb="35" eb="37">
      <t>バアイ</t>
    </rPh>
    <rPh sb="48" eb="50">
      <t>ゲンサン</t>
    </rPh>
    <rPh sb="51" eb="53">
      <t>テキヨウ</t>
    </rPh>
    <phoneticPr fontId="1"/>
  </si>
  <si>
    <t>※2　２以上の施設若しくは他の事業と兼務し、所長として職務を行っていない者は欠員とみなし当該減算を適用する。　　　　　　　　　　　　　　　　　　　　　　　　　　　　　　　　　　　　　　　　　　　　　　　　　　　　　　　　　　　　　　　　　　　　　　　　　　　　　　　　　　　　　　　　　　　　　　　　　　　　　　</t>
    <rPh sb="4" eb="6">
      <t>イジョウ</t>
    </rPh>
    <rPh sb="7" eb="9">
      <t>シセツ</t>
    </rPh>
    <rPh sb="9" eb="10">
      <t>モ</t>
    </rPh>
    <rPh sb="13" eb="14">
      <t>タ</t>
    </rPh>
    <rPh sb="15" eb="17">
      <t>ジギョウ</t>
    </rPh>
    <rPh sb="18" eb="20">
      <t>ケンム</t>
    </rPh>
    <rPh sb="22" eb="24">
      <t>ショチョウ</t>
    </rPh>
    <rPh sb="27" eb="29">
      <t>ショクム</t>
    </rPh>
    <rPh sb="30" eb="31">
      <t>オコナ</t>
    </rPh>
    <rPh sb="36" eb="37">
      <t>モノ</t>
    </rPh>
    <rPh sb="38" eb="40">
      <t>ケツイン</t>
    </rPh>
    <phoneticPr fontId="1"/>
  </si>
  <si>
    <t>②</t>
    <phoneticPr fontId="1"/>
  </si>
  <si>
    <t>共同保育施設名：</t>
    <rPh sb="0" eb="2">
      <t>キョウドウ</t>
    </rPh>
    <rPh sb="2" eb="4">
      <t>ホイク</t>
    </rPh>
    <rPh sb="4" eb="6">
      <t>シセツ</t>
    </rPh>
    <rPh sb="6" eb="7">
      <t>メイ</t>
    </rPh>
    <phoneticPr fontId="1"/>
  </si>
  <si>
    <t>2　3歳児配置改善加算</t>
    <rPh sb="3" eb="5">
      <t>サイジ</t>
    </rPh>
    <rPh sb="5" eb="7">
      <t>ハイチ</t>
    </rPh>
    <rPh sb="7" eb="9">
      <t>カイゼン</t>
    </rPh>
    <rPh sb="9" eb="11">
      <t>カサン</t>
    </rPh>
    <phoneticPr fontId="1"/>
  </si>
  <si>
    <t>3　休日保育加算</t>
    <rPh sb="2" eb="4">
      <t>キュウジツ</t>
    </rPh>
    <rPh sb="4" eb="6">
      <t>ホイク</t>
    </rPh>
    <rPh sb="6" eb="8">
      <t>カサン</t>
    </rPh>
    <phoneticPr fontId="1"/>
  </si>
  <si>
    <t>5　減価償却費加算</t>
    <rPh sb="2" eb="4">
      <t>ゲンカ</t>
    </rPh>
    <rPh sb="4" eb="6">
      <t>ショウキャク</t>
    </rPh>
    <rPh sb="6" eb="7">
      <t>ヒ</t>
    </rPh>
    <rPh sb="7" eb="9">
      <t>カサン</t>
    </rPh>
    <phoneticPr fontId="1"/>
  </si>
  <si>
    <t>6　賃借料加算</t>
    <rPh sb="2" eb="5">
      <t>チンシャクリョウ</t>
    </rPh>
    <rPh sb="5" eb="7">
      <t>カサン</t>
    </rPh>
    <phoneticPr fontId="1"/>
  </si>
  <si>
    <t>7　チーム保育推進加算</t>
    <rPh sb="5" eb="7">
      <t>ホイク</t>
    </rPh>
    <rPh sb="7" eb="9">
      <t>スイシン</t>
    </rPh>
    <rPh sb="9" eb="11">
      <t>カサン</t>
    </rPh>
    <phoneticPr fontId="1"/>
  </si>
  <si>
    <t>8　副食費徴収免除加算（２号）</t>
    <rPh sb="2" eb="5">
      <t>フクショクヒ</t>
    </rPh>
    <rPh sb="5" eb="7">
      <t>チョウシュウ</t>
    </rPh>
    <rPh sb="7" eb="9">
      <t>メンジョ</t>
    </rPh>
    <rPh sb="9" eb="11">
      <t>カサン</t>
    </rPh>
    <rPh sb="13" eb="14">
      <t>ゴウ</t>
    </rPh>
    <phoneticPr fontId="1"/>
  </si>
  <si>
    <t>9　分園の場合</t>
    <rPh sb="2" eb="4">
      <t>ブンエン</t>
    </rPh>
    <rPh sb="5" eb="7">
      <t>バアイ</t>
    </rPh>
    <phoneticPr fontId="1"/>
  </si>
  <si>
    <t>閉所している日数</t>
    <rPh sb="0" eb="2">
      <t>ヘイショ</t>
    </rPh>
    <rPh sb="6" eb="8">
      <t>ニッスウ</t>
    </rPh>
    <phoneticPr fontId="1"/>
  </si>
  <si>
    <t>１　当該月の利用見込み</t>
    <rPh sb="2" eb="4">
      <t>トウガイ</t>
    </rPh>
    <rPh sb="4" eb="5">
      <t>ヅキ</t>
    </rPh>
    <rPh sb="6" eb="8">
      <t>リヨウ</t>
    </rPh>
    <rPh sb="8" eb="10">
      <t>ミコ</t>
    </rPh>
    <phoneticPr fontId="1"/>
  </si>
  <si>
    <t>土曜日</t>
    <rPh sb="0" eb="3">
      <t>ドヨウビ</t>
    </rPh>
    <phoneticPr fontId="1"/>
  </si>
  <si>
    <t>平日/祝日</t>
    <rPh sb="0" eb="2">
      <t>ヘイジツ</t>
    </rPh>
    <rPh sb="3" eb="5">
      <t>シュクジツ</t>
    </rPh>
    <phoneticPr fontId="1"/>
  </si>
  <si>
    <t>利用児童数（見込）</t>
    <rPh sb="0" eb="2">
      <t>リヨウ</t>
    </rPh>
    <rPh sb="2" eb="4">
      <t>ジドウ</t>
    </rPh>
    <rPh sb="4" eb="5">
      <t>スウ</t>
    </rPh>
    <rPh sb="6" eb="8">
      <t>ミコミ</t>
    </rPh>
    <phoneticPr fontId="1"/>
  </si>
  <si>
    <t>2　前月の利用実績</t>
    <rPh sb="2" eb="4">
      <t>ゼンゲツ</t>
    </rPh>
    <rPh sb="5" eb="7">
      <t>リヨウ</t>
    </rPh>
    <rPh sb="7" eb="9">
      <t>ジッセキ</t>
    </rPh>
    <phoneticPr fontId="1"/>
  </si>
  <si>
    <t>祝・休日</t>
    <rPh sb="0" eb="1">
      <t>シュク</t>
    </rPh>
    <rPh sb="2" eb="4">
      <t>キュウジツ</t>
    </rPh>
    <phoneticPr fontId="1"/>
  </si>
  <si>
    <t>日にち</t>
    <rPh sb="0" eb="1">
      <t>ヒ</t>
    </rPh>
    <phoneticPr fontId="1"/>
  </si>
  <si>
    <t>土曜順</t>
    <rPh sb="0" eb="2">
      <t>ドヨウ</t>
    </rPh>
    <rPh sb="2" eb="3">
      <t>ジュン</t>
    </rPh>
    <phoneticPr fontId="1"/>
  </si>
  <si>
    <t>土曜日</t>
    <rPh sb="0" eb="2">
      <t>ドヨウ</t>
    </rPh>
    <rPh sb="2" eb="3">
      <t>ビ</t>
    </rPh>
    <phoneticPr fontId="1"/>
  </si>
  <si>
    <t>利用児童数（実績）</t>
    <rPh sb="0" eb="2">
      <t>リヨウ</t>
    </rPh>
    <rPh sb="2" eb="4">
      <t>ジドウ</t>
    </rPh>
    <rPh sb="4" eb="5">
      <t>スウ</t>
    </rPh>
    <rPh sb="6" eb="8">
      <t>ジッセキ</t>
    </rPh>
    <phoneticPr fontId="1"/>
  </si>
  <si>
    <t>減算(見込)</t>
    <rPh sb="0" eb="2">
      <t>ゲンサン</t>
    </rPh>
    <rPh sb="3" eb="5">
      <t>ミコミ</t>
    </rPh>
    <phoneticPr fontId="1"/>
  </si>
  <si>
    <t>減算区分：</t>
    <rPh sb="0" eb="2">
      <t>ゲンサン</t>
    </rPh>
    <rPh sb="2" eb="4">
      <t>クブン</t>
    </rPh>
    <phoneticPr fontId="1"/>
  </si>
  <si>
    <t>→</t>
    <phoneticPr fontId="1"/>
  </si>
  <si>
    <t>減算区分(見込)：</t>
    <rPh sb="0" eb="2">
      <t>ゲンサン</t>
    </rPh>
    <rPh sb="2" eb="4">
      <t>クブン</t>
    </rPh>
    <rPh sb="5" eb="7">
      <t>ミコミ</t>
    </rPh>
    <phoneticPr fontId="1"/>
  </si>
  <si>
    <t>減算区分(実績)：</t>
    <rPh sb="0" eb="2">
      <t>ゲンサン</t>
    </rPh>
    <rPh sb="2" eb="4">
      <t>クブン</t>
    </rPh>
    <rPh sb="5" eb="7">
      <t>ジッセキ</t>
    </rPh>
    <phoneticPr fontId="1"/>
  </si>
  <si>
    <t>減算</t>
    <rPh sb="0" eb="2">
      <t>ゲンサン</t>
    </rPh>
    <phoneticPr fontId="1"/>
  </si>
  <si>
    <t>土曜閉所</t>
    <rPh sb="0" eb="2">
      <t>ドヨウ</t>
    </rPh>
    <rPh sb="2" eb="4">
      <t>ヘイショ</t>
    </rPh>
    <phoneticPr fontId="1"/>
  </si>
  <si>
    <t>全て</t>
    <rPh sb="0" eb="1">
      <t>スベ</t>
    </rPh>
    <phoneticPr fontId="1"/>
  </si>
  <si>
    <t>栄養</t>
    <rPh sb="0" eb="2">
      <t>エイヨウ</t>
    </rPh>
    <phoneticPr fontId="1"/>
  </si>
  <si>
    <t>※　土曜日（国民の祝日及び休日を除く）に係る保育の利用希望が無いなどの理由により土曜日に閉所する日がある月に適用されます。また、開所していても利用児童が無く保育の提供をしていない場合には閉所しているものとして扱います。なお、共同保育により利用希望者の保育を確保した場合は、閉所日数に含めません。</t>
    <phoneticPr fontId="1"/>
  </si>
  <si>
    <t>※</t>
    <phoneticPr fontId="1"/>
  </si>
  <si>
    <t>【参考】基本配置の調理員の配置状況</t>
    <rPh sb="1" eb="3">
      <t>サンコウ</t>
    </rPh>
    <rPh sb="4" eb="6">
      <t>キホン</t>
    </rPh>
    <rPh sb="6" eb="8">
      <t>ハイチ</t>
    </rPh>
    <rPh sb="9" eb="12">
      <t>チョウリイン</t>
    </rPh>
    <rPh sb="13" eb="15">
      <t>ハイチ</t>
    </rPh>
    <rPh sb="15" eb="17">
      <t>ジョウキョウ</t>
    </rPh>
    <phoneticPr fontId="1"/>
  </si>
  <si>
    <t>②　栄養士の資格証の写し</t>
    <rPh sb="2" eb="5">
      <t>エイヨウシ</t>
    </rPh>
    <rPh sb="6" eb="8">
      <t>シカク</t>
    </rPh>
    <rPh sb="8" eb="9">
      <t>ショウ</t>
    </rPh>
    <rPh sb="10" eb="11">
      <t>ウツ</t>
    </rPh>
    <phoneticPr fontId="1"/>
  </si>
  <si>
    <t>市外</t>
    <rPh sb="0" eb="2">
      <t>シガイガイ</t>
    </rPh>
    <phoneticPr fontId="1"/>
  </si>
  <si>
    <t>市内</t>
    <rPh sb="0" eb="2">
      <t>シナイ</t>
    </rPh>
    <phoneticPr fontId="1"/>
  </si>
  <si>
    <t>（総計）</t>
    <rPh sb="1" eb="2">
      <t>ソウ</t>
    </rPh>
    <rPh sb="2" eb="3">
      <t>ケイ</t>
    </rPh>
    <phoneticPr fontId="1"/>
  </si>
  <si>
    <t>市内/外</t>
    <rPh sb="0" eb="2">
      <t>シナイ</t>
    </rPh>
    <rPh sb="3" eb="4">
      <t>ガイ</t>
    </rPh>
    <phoneticPr fontId="1"/>
  </si>
  <si>
    <t>各月初日における利用児童数(市外児童含む)</t>
    <rPh sb="0" eb="1">
      <t>カク</t>
    </rPh>
    <rPh sb="1" eb="2">
      <t>ツキ</t>
    </rPh>
    <rPh sb="2" eb="4">
      <t>ショニチ</t>
    </rPh>
    <rPh sb="8" eb="10">
      <t>リヨウ</t>
    </rPh>
    <rPh sb="10" eb="12">
      <t>ジドウ</t>
    </rPh>
    <rPh sb="12" eb="13">
      <t>スウ</t>
    </rPh>
    <rPh sb="14" eb="16">
      <t>シガイ</t>
    </rPh>
    <rPh sb="16" eb="18">
      <t>ジドウ</t>
    </rPh>
    <rPh sb="18" eb="19">
      <t>フク</t>
    </rPh>
    <phoneticPr fontId="1"/>
  </si>
  <si>
    <t>市外</t>
    <rPh sb="0" eb="2">
      <t>シガイ</t>
    </rPh>
    <phoneticPr fontId="1"/>
  </si>
  <si>
    <t>②　当該様式は、本市～施設間で加算認定の齟齬を確認するための様式です。当該様式を申請書に代えて使用することはできませんのでご注意ください。</t>
    <rPh sb="2" eb="4">
      <t>トウガイ</t>
    </rPh>
    <rPh sb="4" eb="6">
      <t>ヨウシキ</t>
    </rPh>
    <rPh sb="8" eb="10">
      <t>ホンシ</t>
    </rPh>
    <rPh sb="11" eb="13">
      <t>シセツ</t>
    </rPh>
    <rPh sb="13" eb="14">
      <t>アイダ</t>
    </rPh>
    <rPh sb="15" eb="17">
      <t>カサン</t>
    </rPh>
    <rPh sb="17" eb="19">
      <t>ニンテイ</t>
    </rPh>
    <rPh sb="20" eb="22">
      <t>ソゴ</t>
    </rPh>
    <rPh sb="23" eb="25">
      <t>カクニン</t>
    </rPh>
    <rPh sb="30" eb="32">
      <t>ヨウシキ</t>
    </rPh>
    <rPh sb="35" eb="37">
      <t>トウガイ</t>
    </rPh>
    <rPh sb="37" eb="39">
      <t>ヨウシキ</t>
    </rPh>
    <rPh sb="40" eb="43">
      <t>シンセイショ</t>
    </rPh>
    <rPh sb="44" eb="45">
      <t>カ</t>
    </rPh>
    <rPh sb="47" eb="49">
      <t>シヨウ</t>
    </rPh>
    <rPh sb="62" eb="64">
      <t>チュウイ</t>
    </rPh>
    <phoneticPr fontId="1"/>
  </si>
  <si>
    <t>・　単位は「時間」のため、１時間30分⇒1.5（時間）となります。不明な場合は右の換算表をご使用ください。</t>
    <phoneticPr fontId="1"/>
  </si>
  <si>
    <t>土曜日に閉所している日がある</t>
    <rPh sb="0" eb="2">
      <t>ドヨウ</t>
    </rPh>
    <rPh sb="2" eb="3">
      <t>ビ</t>
    </rPh>
    <rPh sb="4" eb="6">
      <t>ヘイショ</t>
    </rPh>
    <rPh sb="10" eb="11">
      <t>ヒ</t>
    </rPh>
    <phoneticPr fontId="1"/>
  </si>
  <si>
    <t>【様式3】</t>
    <rPh sb="1" eb="3">
      <t>ヨウシキ</t>
    </rPh>
    <phoneticPr fontId="1"/>
  </si>
  <si>
    <t>【様式１：保育所】</t>
    <rPh sb="1" eb="3">
      <t>ヨウシキ</t>
    </rPh>
    <rPh sb="5" eb="7">
      <t>ホイク</t>
    </rPh>
    <rPh sb="7" eb="8">
      <t>ショ</t>
    </rPh>
    <phoneticPr fontId="1"/>
  </si>
  <si>
    <t>【様式4】</t>
    <rPh sb="1" eb="3">
      <t>ヨウシキ</t>
    </rPh>
    <phoneticPr fontId="1"/>
  </si>
  <si>
    <t>【様式5】</t>
    <rPh sb="1" eb="3">
      <t>ヨウシキ</t>
    </rPh>
    <phoneticPr fontId="1"/>
  </si>
  <si>
    <t>【様式6】</t>
    <rPh sb="1" eb="3">
      <t>ヨウシキ</t>
    </rPh>
    <phoneticPr fontId="1"/>
  </si>
  <si>
    <t>様式2/様式5</t>
    <rPh sb="0" eb="2">
      <t>ヨウシキ</t>
    </rPh>
    <rPh sb="4" eb="6">
      <t>ヨウシキ</t>
    </rPh>
    <phoneticPr fontId="1"/>
  </si>
  <si>
    <t>①　様式4(チーム保育体制が分かる挙証書類により代替可能)</t>
    <rPh sb="2" eb="4">
      <t>ヨウシキ</t>
    </rPh>
    <rPh sb="9" eb="11">
      <t>ホイク</t>
    </rPh>
    <rPh sb="11" eb="13">
      <t>タイセイ</t>
    </rPh>
    <rPh sb="14" eb="15">
      <t>ワ</t>
    </rPh>
    <rPh sb="17" eb="19">
      <t>キョショウ</t>
    </rPh>
    <rPh sb="19" eb="21">
      <t>ショルイ</t>
    </rPh>
    <rPh sb="24" eb="26">
      <t>ダイタイ</t>
    </rPh>
    <rPh sb="26" eb="28">
      <t>カノウ</t>
    </rPh>
    <phoneticPr fontId="1"/>
  </si>
  <si>
    <t>②　様式5</t>
    <rPh sb="2" eb="4">
      <t>ヨウシキ</t>
    </rPh>
    <phoneticPr fontId="1"/>
  </si>
  <si>
    <t>①　別紙1-1（現在までの経歴・職務をまとめた経歴書）</t>
    <rPh sb="2" eb="4">
      <t>ベッシ</t>
    </rPh>
    <rPh sb="8" eb="10">
      <t>ゲンザイ</t>
    </rPh>
    <rPh sb="13" eb="15">
      <t>ケイレキ</t>
    </rPh>
    <rPh sb="16" eb="18">
      <t>ショクム</t>
    </rPh>
    <rPh sb="23" eb="26">
      <t>ケイレキショ</t>
    </rPh>
    <phoneticPr fontId="1"/>
  </si>
  <si>
    <t>毎月分提出する必要があります。</t>
    <rPh sb="0" eb="2">
      <t>マイツキ</t>
    </rPh>
    <rPh sb="2" eb="3">
      <t>ブン</t>
    </rPh>
    <rPh sb="3" eb="5">
      <t>テイシュツ</t>
    </rPh>
    <rPh sb="7" eb="9">
      <t>ヒツヨウ</t>
    </rPh>
    <phoneticPr fontId="1"/>
  </si>
  <si>
    <t>　一時預かり事業（一般型）
（子ども・子育て支援交付金に係る要件に適合しており、かつ、月の平均対象子どもが１人以上いるもの（年度当初から事業を開始する場合は５月において当該要件を満たしていることをもって４月から当該要件を満たしているものと取り扱う。）。※１）</t>
    <phoneticPr fontId="1"/>
  </si>
  <si>
    <t>　延長保育事業
（子ども・子育て支援交付金の交付に係る要件に適合するもの及びこれと同等の要件を満たして自主事業として実施しているもの。※１）</t>
    <phoneticPr fontId="1"/>
  </si>
  <si>
    <t>職員配置を充足している（様式5）</t>
    <rPh sb="0" eb="2">
      <t>ショクイン</t>
    </rPh>
    <rPh sb="2" eb="4">
      <t>ハイチ</t>
    </rPh>
    <rPh sb="5" eb="7">
      <t>ジュウソク</t>
    </rPh>
    <rPh sb="12" eb="14">
      <t>ヨウシキ</t>
    </rPh>
    <phoneticPr fontId="1"/>
  </si>
  <si>
    <t>①　様式2/様式5</t>
    <rPh sb="2" eb="4">
      <t>ヨウシキ</t>
    </rPh>
    <rPh sb="6" eb="8">
      <t>ヨウシキ</t>
    </rPh>
    <phoneticPr fontId="1"/>
  </si>
  <si>
    <r>
      <t>事務職員及び非常勤事務職員（①～③のうち</t>
    </r>
    <r>
      <rPr>
        <sz val="10"/>
        <color rgb="FFFF0000"/>
        <rFont val="ＭＳ 明朝"/>
        <family val="1"/>
        <charset val="128"/>
      </rPr>
      <t>一つを選択※1</t>
    </r>
    <r>
      <rPr>
        <sz val="10"/>
        <rFont val="ＭＳ 明朝"/>
        <family val="1"/>
        <charset val="128"/>
      </rPr>
      <t>）</t>
    </r>
    <rPh sb="0" eb="2">
      <t>ジム</t>
    </rPh>
    <rPh sb="2" eb="4">
      <t>ショクイン</t>
    </rPh>
    <rPh sb="4" eb="5">
      <t>オヨ</t>
    </rPh>
    <rPh sb="6" eb="9">
      <t>ヒジョウキン</t>
    </rPh>
    <rPh sb="9" eb="11">
      <t>ジム</t>
    </rPh>
    <rPh sb="11" eb="13">
      <t>ショクイン</t>
    </rPh>
    <rPh sb="20" eb="21">
      <t>ヒト</t>
    </rPh>
    <rPh sb="23" eb="25">
      <t>センタク</t>
    </rPh>
    <phoneticPr fontId="1"/>
  </si>
  <si>
    <t>加算要件
(１～３の要件全てに該当する場合に加算)</t>
    <rPh sb="0" eb="2">
      <t>カサン</t>
    </rPh>
    <rPh sb="2" eb="4">
      <t>ヨウケン</t>
    </rPh>
    <rPh sb="11" eb="13">
      <t>ヨウケン</t>
    </rPh>
    <rPh sb="13" eb="14">
      <t>スベ</t>
    </rPh>
    <rPh sb="16" eb="18">
      <t>ガイトウ</t>
    </rPh>
    <rPh sb="20" eb="22">
      <t>バアイ</t>
    </rPh>
    <rPh sb="23" eb="25">
      <t>カサン</t>
    </rPh>
    <phoneticPr fontId="1"/>
  </si>
  <si>
    <t>具体的な
配分方法</t>
    <rPh sb="0" eb="3">
      <t>グタイテキ</t>
    </rPh>
    <rPh sb="5" eb="7">
      <t>ハイブン</t>
    </rPh>
    <rPh sb="7" eb="9">
      <t>ホウホウ</t>
    </rPh>
    <phoneticPr fontId="1"/>
  </si>
  <si>
    <r>
      <t>児童福祉事業等の従事経験2年以上</t>
    </r>
    <r>
      <rPr>
        <vertAlign val="superscript"/>
        <sz val="10"/>
        <rFont val="ＭＳ 明朝"/>
        <family val="1"/>
        <charset val="128"/>
      </rPr>
      <t>※１</t>
    </r>
    <rPh sb="0" eb="2">
      <t>ジドウ</t>
    </rPh>
    <rPh sb="2" eb="4">
      <t>フクシ</t>
    </rPh>
    <rPh sb="4" eb="6">
      <t>ジギョウ</t>
    </rPh>
    <rPh sb="6" eb="7">
      <t>トウ</t>
    </rPh>
    <rPh sb="8" eb="10">
      <t>ジュウジ</t>
    </rPh>
    <rPh sb="10" eb="12">
      <t>ケイケン</t>
    </rPh>
    <rPh sb="13" eb="14">
      <t>ネン</t>
    </rPh>
    <rPh sb="14" eb="16">
      <t>イジョウ</t>
    </rPh>
    <phoneticPr fontId="1"/>
  </si>
  <si>
    <t>区分</t>
    <rPh sb="0" eb="2">
      <t>クブン</t>
    </rPh>
    <phoneticPr fontId="1"/>
  </si>
  <si>
    <t>休日等を含めて年間を通じて受け入れ態勢を確保している(①又は②のどちらかを満たすこと）</t>
    <rPh sb="0" eb="2">
      <t>キュウジツ</t>
    </rPh>
    <rPh sb="2" eb="3">
      <t>トウ</t>
    </rPh>
    <rPh sb="4" eb="5">
      <t>フク</t>
    </rPh>
    <rPh sb="7" eb="9">
      <t>ネンカン</t>
    </rPh>
    <rPh sb="10" eb="11">
      <t>ツウ</t>
    </rPh>
    <rPh sb="13" eb="14">
      <t>ウ</t>
    </rPh>
    <rPh sb="15" eb="16">
      <t>イ</t>
    </rPh>
    <rPh sb="17" eb="19">
      <t>タイセイ</t>
    </rPh>
    <rPh sb="20" eb="22">
      <t>カクホ</t>
    </rPh>
    <rPh sb="28" eb="29">
      <t>マタ</t>
    </rPh>
    <rPh sb="37" eb="38">
      <t>ミ</t>
    </rPh>
    <phoneticPr fontId="1"/>
  </si>
  <si>
    <t>※　下記「Ⅱ　個票」については、『当該年度に始めて申請するとき』または『変更があるとき』のみ該当の加算分を作成をしてください（それ以外の場合は作成不要）。</t>
    <rPh sb="2" eb="4">
      <t>カキ</t>
    </rPh>
    <rPh sb="22" eb="23">
      <t>ハジ</t>
    </rPh>
    <phoneticPr fontId="1"/>
  </si>
  <si>
    <t>　病児保育事業</t>
    <phoneticPr fontId="1"/>
  </si>
  <si>
    <t>　乳児(０歳児)が３人以上利用している施設※1</t>
    <rPh sb="5" eb="6">
      <t>サイ</t>
    </rPh>
    <rPh sb="6" eb="7">
      <t>ジ</t>
    </rPh>
    <phoneticPr fontId="1"/>
  </si>
  <si>
    <t>　障害児（軽度障害児を含む。）が１人以上利用している施設※1</t>
    <phoneticPr fontId="1"/>
  </si>
  <si>
    <t>01保育所</t>
  </si>
  <si>
    <t>　１施設当たりの改修等に要した費用を2,000で除して得た値が、建物全体の延面積に２を乗じて得た値を上回る場合で、かつ、改修等に要した費用が1,000万円以上</t>
    <phoneticPr fontId="1"/>
  </si>
  <si>
    <t>上記「3」に該当しない場合でも、右欄の要件全てに該当する改修等を行った場合は「3」に該当</t>
    <rPh sb="0" eb="2">
      <t>ジョウキ</t>
    </rPh>
    <rPh sb="6" eb="8">
      <t>ガイトウ</t>
    </rPh>
    <rPh sb="11" eb="13">
      <t>バアイ</t>
    </rPh>
    <rPh sb="16" eb="17">
      <t>ミギ</t>
    </rPh>
    <rPh sb="17" eb="18">
      <t>ラン</t>
    </rPh>
    <rPh sb="19" eb="21">
      <t>ヨウケン</t>
    </rPh>
    <rPh sb="21" eb="22">
      <t>スベ</t>
    </rPh>
    <rPh sb="24" eb="26">
      <t>ガイトウ</t>
    </rPh>
    <rPh sb="28" eb="30">
      <t>カイシュウ</t>
    </rPh>
    <rPh sb="30" eb="31">
      <t>トウ</t>
    </rPh>
    <rPh sb="32" eb="33">
      <t>オコナ</t>
    </rPh>
    <rPh sb="35" eb="37">
      <t>バアイ</t>
    </rPh>
    <rPh sb="42" eb="44">
      <t>ガイトウ</t>
    </rPh>
    <phoneticPr fontId="1"/>
  </si>
  <si>
    <t>【×】を選択した場合＞＞
施設整備費等の国庫補助の交付を受けて建設した建物について、整備後一定年数が経過したものであり、以下の要件全てに該当する場合</t>
    <rPh sb="60" eb="62">
      <t>イカ</t>
    </rPh>
    <rPh sb="63" eb="65">
      <t>ヨウケン</t>
    </rPh>
    <rPh sb="65" eb="66">
      <t>スベ</t>
    </rPh>
    <rPh sb="68" eb="70">
      <t>ガイトウ</t>
    </rPh>
    <rPh sb="72" eb="74">
      <t>バアイ</t>
    </rPh>
    <phoneticPr fontId="1"/>
  </si>
  <si>
    <t>　保育所の用に供する建物が賃貸物件（施設の一部が自己所有の場合は、賃貸による建物の延べ面積が施設全体の延べ面積の50％以上）</t>
    <rPh sb="1" eb="3">
      <t>ホイク</t>
    </rPh>
    <rPh sb="3" eb="4">
      <t>ショ</t>
    </rPh>
    <rPh sb="13" eb="15">
      <t>チンタイ</t>
    </rPh>
    <rPh sb="15" eb="17">
      <t>ブッケン</t>
    </rPh>
    <rPh sb="18" eb="20">
      <t>シセツ</t>
    </rPh>
    <rPh sb="21" eb="23">
      <t>イチブ</t>
    </rPh>
    <rPh sb="24" eb="26">
      <t>ジコ</t>
    </rPh>
    <rPh sb="26" eb="28">
      <t>ショユウ</t>
    </rPh>
    <rPh sb="29" eb="31">
      <t>バアイ</t>
    </rPh>
    <rPh sb="33" eb="35">
      <t>チンタイ</t>
    </rPh>
    <rPh sb="38" eb="40">
      <t>タテモノ</t>
    </rPh>
    <rPh sb="41" eb="42">
      <t>ノ</t>
    </rPh>
    <rPh sb="43" eb="45">
      <t>メンセキ</t>
    </rPh>
    <rPh sb="46" eb="48">
      <t>シセツ</t>
    </rPh>
    <rPh sb="48" eb="50">
      <t>ゼンタイ</t>
    </rPh>
    <rPh sb="51" eb="52">
      <t>ノ</t>
    </rPh>
    <rPh sb="53" eb="55">
      <t>メンセキ</t>
    </rPh>
    <rPh sb="59" eb="61">
      <t>イジョウ</t>
    </rPh>
    <phoneticPr fontId="1"/>
  </si>
  <si>
    <t>　保育所の用に供する建物が自己所有(施設の一部が賃貸物件の場合は、自己所有の建物の延べ面積が施設全体の延べ面積の50％以上）</t>
    <rPh sb="1" eb="3">
      <t>ホイク</t>
    </rPh>
    <rPh sb="3" eb="4">
      <t>ショ</t>
    </rPh>
    <rPh sb="18" eb="20">
      <t>シセツ</t>
    </rPh>
    <rPh sb="21" eb="23">
      <t>イチブ</t>
    </rPh>
    <rPh sb="24" eb="26">
      <t>チンタイ</t>
    </rPh>
    <rPh sb="26" eb="28">
      <t>ブッケン</t>
    </rPh>
    <rPh sb="29" eb="31">
      <t>バアイ</t>
    </rPh>
    <rPh sb="33" eb="35">
      <t>ジコ</t>
    </rPh>
    <rPh sb="35" eb="37">
      <t>ショユウ</t>
    </rPh>
    <rPh sb="38" eb="40">
      <t>タテモノ</t>
    </rPh>
    <rPh sb="41" eb="42">
      <t>ノ</t>
    </rPh>
    <rPh sb="43" eb="45">
      <t>メンセキ</t>
    </rPh>
    <rPh sb="46" eb="48">
      <t>シセツ</t>
    </rPh>
    <rPh sb="48" eb="50">
      <t>ゼンタイ</t>
    </rPh>
    <rPh sb="51" eb="52">
      <t>ノ</t>
    </rPh>
    <rPh sb="53" eb="55">
      <t>メンセキ</t>
    </rPh>
    <rPh sb="59" eb="61">
      <t>イジョウ</t>
    </rPh>
    <phoneticPr fontId="1"/>
  </si>
  <si>
    <t>処遇改善等加算Ⅰ（基礎分）の職員一人当たりの平均勤続年数が12年以上</t>
    <rPh sb="9" eb="11">
      <t>キソ</t>
    </rPh>
    <rPh sb="11" eb="12">
      <t>ブン</t>
    </rPh>
    <rPh sb="31" eb="34">
      <t>ネンイジョウ</t>
    </rPh>
    <phoneticPr fontId="1"/>
  </si>
  <si>
    <t>①　職員氏名</t>
    <rPh sb="2" eb="4">
      <t>ショクイン</t>
    </rPh>
    <rPh sb="4" eb="6">
      <t>シメイ</t>
    </rPh>
    <phoneticPr fontId="3"/>
  </si>
  <si>
    <t>②で【×】を選択した場合＞＞
　年度内に公定期間等の実施する所長研修(厚労省等から受託を受けた研修に限る。）を受講する予定である。
※　特例措置(年に数回しか研修が無いため)
　下記に受講研修・予定年月を記載すること。また、研修修了後速やかに報告・修了書の提出を行うこと。</t>
    <rPh sb="6" eb="8">
      <t>センタク</t>
    </rPh>
    <rPh sb="10" eb="12">
      <t>バアイ</t>
    </rPh>
    <rPh sb="16" eb="19">
      <t>ネンドナイ</t>
    </rPh>
    <rPh sb="20" eb="22">
      <t>コウテイ</t>
    </rPh>
    <rPh sb="22" eb="24">
      <t>キカン</t>
    </rPh>
    <rPh sb="24" eb="25">
      <t>トウ</t>
    </rPh>
    <rPh sb="26" eb="28">
      <t>ジッシ</t>
    </rPh>
    <rPh sb="30" eb="32">
      <t>ショチョウ</t>
    </rPh>
    <rPh sb="32" eb="34">
      <t>ケンシュウ</t>
    </rPh>
    <rPh sb="35" eb="38">
      <t>コウロウショウ</t>
    </rPh>
    <rPh sb="38" eb="39">
      <t>トウ</t>
    </rPh>
    <rPh sb="41" eb="43">
      <t>ジュタク</t>
    </rPh>
    <rPh sb="44" eb="45">
      <t>ウ</t>
    </rPh>
    <rPh sb="47" eb="49">
      <t>ケンシュウ</t>
    </rPh>
    <rPh sb="50" eb="51">
      <t>カギ</t>
    </rPh>
    <rPh sb="55" eb="57">
      <t>ジュコウ</t>
    </rPh>
    <rPh sb="59" eb="61">
      <t>ヨテイ</t>
    </rPh>
    <rPh sb="68" eb="70">
      <t>トクレイ</t>
    </rPh>
    <rPh sb="70" eb="72">
      <t>ソチ</t>
    </rPh>
    <rPh sb="73" eb="74">
      <t>ネン</t>
    </rPh>
    <rPh sb="75" eb="77">
      <t>スウカイ</t>
    </rPh>
    <rPh sb="79" eb="81">
      <t>ケンシュウ</t>
    </rPh>
    <rPh sb="82" eb="83">
      <t>ナ</t>
    </rPh>
    <rPh sb="89" eb="91">
      <t>カキ</t>
    </rPh>
    <rPh sb="92" eb="94">
      <t>ジュコウ</t>
    </rPh>
    <rPh sb="94" eb="96">
      <t>ケンシュウ</t>
    </rPh>
    <rPh sb="97" eb="99">
      <t>ヨテイ</t>
    </rPh>
    <rPh sb="99" eb="101">
      <t>ネンゲツ</t>
    </rPh>
    <rPh sb="102" eb="104">
      <t>キサイ</t>
    </rPh>
    <rPh sb="112" eb="114">
      <t>ケンシュウ</t>
    </rPh>
    <rPh sb="114" eb="116">
      <t>シュウリョウ</t>
    </rPh>
    <rPh sb="116" eb="117">
      <t>ゴ</t>
    </rPh>
    <rPh sb="117" eb="118">
      <t>スミ</t>
    </rPh>
    <rPh sb="121" eb="123">
      <t>ホウコク</t>
    </rPh>
    <rPh sb="124" eb="126">
      <t>シュウリョウ</t>
    </rPh>
    <rPh sb="126" eb="127">
      <t>ショ</t>
    </rPh>
    <rPh sb="128" eb="130">
      <t>テイシュツ</t>
    </rPh>
    <rPh sb="131" eb="132">
      <t>オコナ</t>
    </rPh>
    <phoneticPr fontId="1"/>
  </si>
  <si>
    <t>　建物を整備・改修又は取得する際に、建設資金又は購入資金が発生している</t>
    <rPh sb="7" eb="9">
      <t>カイシュウ</t>
    </rPh>
    <phoneticPr fontId="1"/>
  </si>
  <si>
    <t>　建物の設備に当たって、施設整備費又は改修費等の国庫補助金の交付を受けていない</t>
    <rPh sb="1" eb="3">
      <t>タテモノ</t>
    </rPh>
    <rPh sb="4" eb="6">
      <t>セツビ</t>
    </rPh>
    <rPh sb="7" eb="8">
      <t>ア</t>
    </rPh>
    <rPh sb="12" eb="14">
      <t>シセツ</t>
    </rPh>
    <rPh sb="14" eb="17">
      <t>セイビヒ</t>
    </rPh>
    <rPh sb="17" eb="18">
      <t>マタ</t>
    </rPh>
    <rPh sb="19" eb="21">
      <t>カイシュウ</t>
    </rPh>
    <rPh sb="21" eb="22">
      <t>ヒ</t>
    </rPh>
    <rPh sb="22" eb="23">
      <t>トウ</t>
    </rPh>
    <rPh sb="24" eb="26">
      <t>コッコ</t>
    </rPh>
    <rPh sb="26" eb="29">
      <t>ホジョキン</t>
    </rPh>
    <rPh sb="30" eb="32">
      <t>コウフ</t>
    </rPh>
    <rPh sb="33" eb="34">
      <t>ウ</t>
    </rPh>
    <phoneticPr fontId="1"/>
  </si>
  <si>
    <t>　賃借料の国庫補助を受けた施設については、当該補助に係る残額が生じていない</t>
    <rPh sb="1" eb="4">
      <t>チンシャクリョウ</t>
    </rPh>
    <phoneticPr fontId="1"/>
  </si>
  <si>
    <t>※　単価は基本分＋処遇改善等加算Ⅰ（基礎分）で算出。また、中途入退所児童を含んでいないため参考値であることに留意</t>
    <rPh sb="2" eb="4">
      <t>タンカ</t>
    </rPh>
    <rPh sb="5" eb="7">
      <t>キホン</t>
    </rPh>
    <rPh sb="7" eb="8">
      <t>ブン</t>
    </rPh>
    <rPh sb="9" eb="11">
      <t>ショグウ</t>
    </rPh>
    <rPh sb="11" eb="13">
      <t>カイゼン</t>
    </rPh>
    <rPh sb="13" eb="14">
      <t>トウ</t>
    </rPh>
    <rPh sb="14" eb="16">
      <t>カサン</t>
    </rPh>
    <rPh sb="18" eb="20">
      <t>キソ</t>
    </rPh>
    <rPh sb="20" eb="21">
      <t>ブン</t>
    </rPh>
    <rPh sb="23" eb="25">
      <t>サンシュツ</t>
    </rPh>
    <rPh sb="29" eb="31">
      <t>チュウト</t>
    </rPh>
    <rPh sb="31" eb="33">
      <t>ニュウタイ</t>
    </rPh>
    <rPh sb="33" eb="34">
      <t>ショ</t>
    </rPh>
    <rPh sb="34" eb="36">
      <t>ジドウ</t>
    </rPh>
    <rPh sb="37" eb="38">
      <t>フク</t>
    </rPh>
    <rPh sb="45" eb="47">
      <t>サンコウ</t>
    </rPh>
    <rPh sb="47" eb="48">
      <t>チ</t>
    </rPh>
    <rPh sb="54" eb="56">
      <t>リュウイ</t>
    </rPh>
    <phoneticPr fontId="1"/>
  </si>
  <si>
    <t>①で【×】を選択した場合＞＞
　公的機関等の実施する所長研修(厚労省等から受託を受けた研修に限る。)を受講した者である</t>
    <rPh sb="6" eb="8">
      <t>センタク</t>
    </rPh>
    <rPh sb="10" eb="12">
      <t>バアイ</t>
    </rPh>
    <rPh sb="16" eb="18">
      <t>コウテキ</t>
    </rPh>
    <rPh sb="18" eb="20">
      <t>キカン</t>
    </rPh>
    <rPh sb="20" eb="21">
      <t>トウ</t>
    </rPh>
    <rPh sb="22" eb="24">
      <t>ジッシ</t>
    </rPh>
    <rPh sb="26" eb="28">
      <t>ショチョウ</t>
    </rPh>
    <rPh sb="28" eb="30">
      <t>ケンシュウ</t>
    </rPh>
    <rPh sb="51" eb="53">
      <t>ジュコウ</t>
    </rPh>
    <rPh sb="55" eb="56">
      <t>モノ</t>
    </rPh>
    <phoneticPr fontId="1"/>
  </si>
  <si>
    <t>主任保育士専任加算を取得している（個票13）</t>
    <rPh sb="0" eb="2">
      <t>シュニン</t>
    </rPh>
    <rPh sb="2" eb="5">
      <t>ホイクシ</t>
    </rPh>
    <rPh sb="5" eb="7">
      <t>センニン</t>
    </rPh>
    <rPh sb="7" eb="9">
      <t>カサン</t>
    </rPh>
    <rPh sb="10" eb="12">
      <t>シュトク</t>
    </rPh>
    <rPh sb="17" eb="18">
      <t>コ</t>
    </rPh>
    <rPh sb="18" eb="19">
      <t>ヒョウ</t>
    </rPh>
    <phoneticPr fontId="1"/>
  </si>
  <si>
    <t>地域住民からの障がい児保育相談や地域の障がい児の子育て支援活動等に取り組んでいる</t>
    <rPh sb="31" eb="32">
      <t>トウ</t>
    </rPh>
    <rPh sb="33" eb="34">
      <t>ト</t>
    </rPh>
    <rPh sb="35" eb="36">
      <t>ク</t>
    </rPh>
    <phoneticPr fontId="1"/>
  </si>
  <si>
    <t>④　事業要件2‐②に該当する場合、栄養士の活用・配置状況がわかる挙証書類</t>
    <rPh sb="2" eb="4">
      <t>ジギョウ</t>
    </rPh>
    <rPh sb="4" eb="6">
      <t>ヨウケン</t>
    </rPh>
    <rPh sb="10" eb="12">
      <t>ガイトウ</t>
    </rPh>
    <rPh sb="14" eb="16">
      <t>バアイ</t>
    </rPh>
    <rPh sb="17" eb="20">
      <t>エイヨウシ</t>
    </rPh>
    <rPh sb="21" eb="23">
      <t>カツヨウ</t>
    </rPh>
    <rPh sb="24" eb="26">
      <t>ハイチ</t>
    </rPh>
    <rPh sb="26" eb="28">
      <t>ジョウキョウ</t>
    </rPh>
    <rPh sb="32" eb="34">
      <t>キョショウ</t>
    </rPh>
    <rPh sb="34" eb="36">
      <t>ショルイ</t>
    </rPh>
    <phoneticPr fontId="1"/>
  </si>
  <si>
    <t>11　土曜日に閉所する場合</t>
    <rPh sb="3" eb="6">
      <t>ドヨウビ</t>
    </rPh>
    <rPh sb="7" eb="9">
      <t>ヘイショ</t>
    </rPh>
    <rPh sb="11" eb="13">
      <t>バアイ</t>
    </rPh>
    <phoneticPr fontId="1"/>
  </si>
  <si>
    <t>区分</t>
    <rPh sb="0" eb="2">
      <t>クブン</t>
    </rPh>
    <phoneticPr fontId="1"/>
  </si>
  <si>
    <t>減算区分</t>
    <rPh sb="0" eb="2">
      <t>ゲンサン</t>
    </rPh>
    <rPh sb="2" eb="4">
      <t>クブン</t>
    </rPh>
    <phoneticPr fontId="1"/>
  </si>
  <si>
    <t>現施設の施設長に就任～現在に至る</t>
    <phoneticPr fontId="1"/>
  </si>
  <si>
    <t>説明</t>
    <rPh sb="0" eb="2">
      <t>セツメイ</t>
    </rPh>
    <phoneticPr fontId="1"/>
  </si>
  <si>
    <t>(2)　様式1(個票)：申請する加算入力(一部様式2～5の入力状況を引用)</t>
    <rPh sb="4" eb="6">
      <t>ヨウシキ</t>
    </rPh>
    <rPh sb="8" eb="9">
      <t>コ</t>
    </rPh>
    <rPh sb="9" eb="10">
      <t>ヒョウ</t>
    </rPh>
    <rPh sb="12" eb="14">
      <t>シンセイ</t>
    </rPh>
    <rPh sb="16" eb="18">
      <t>カサン</t>
    </rPh>
    <rPh sb="18" eb="20">
      <t>ニュウリョク</t>
    </rPh>
    <rPh sb="21" eb="23">
      <t>イチブ</t>
    </rPh>
    <rPh sb="23" eb="25">
      <t>ヨウシキ</t>
    </rPh>
    <rPh sb="29" eb="31">
      <t>ニュウリョク</t>
    </rPh>
    <rPh sb="31" eb="33">
      <t>ジョウキョウ</t>
    </rPh>
    <rPh sb="34" eb="36">
      <t>インヨウ</t>
    </rPh>
    <phoneticPr fontId="1"/>
  </si>
  <si>
    <t>(4)　様式2：月初日時点の職員配置を入力</t>
    <rPh sb="4" eb="6">
      <t>ヨウシキ</t>
    </rPh>
    <rPh sb="8" eb="9">
      <t>ツキ</t>
    </rPh>
    <rPh sb="9" eb="11">
      <t>ショニチ</t>
    </rPh>
    <rPh sb="11" eb="13">
      <t>ジテン</t>
    </rPh>
    <rPh sb="14" eb="16">
      <t>ショクイン</t>
    </rPh>
    <rPh sb="16" eb="18">
      <t>ハイチ</t>
    </rPh>
    <rPh sb="19" eb="21">
      <t>ニュウリョク</t>
    </rPh>
    <phoneticPr fontId="1"/>
  </si>
  <si>
    <t>(5)　様式3：非常勤職員がいる場合は、該当月の勤務予定時間を入力</t>
    <rPh sb="4" eb="6">
      <t>ヨウシキ</t>
    </rPh>
    <rPh sb="8" eb="11">
      <t>ヒジョウキン</t>
    </rPh>
    <rPh sb="11" eb="13">
      <t>ショクイン</t>
    </rPh>
    <rPh sb="16" eb="18">
      <t>バアイ</t>
    </rPh>
    <rPh sb="20" eb="22">
      <t>ガイトウ</t>
    </rPh>
    <rPh sb="22" eb="23">
      <t>ツキ</t>
    </rPh>
    <rPh sb="24" eb="26">
      <t>キンム</t>
    </rPh>
    <rPh sb="26" eb="28">
      <t>ヨテイ</t>
    </rPh>
    <rPh sb="28" eb="30">
      <t>ジカン</t>
    </rPh>
    <rPh sb="31" eb="33">
      <t>ニュウリョク</t>
    </rPh>
    <phoneticPr fontId="1"/>
  </si>
  <si>
    <t>(6)　様式4：クラス編成状況を記載</t>
    <rPh sb="4" eb="6">
      <t>ヨウシキ</t>
    </rPh>
    <rPh sb="11" eb="13">
      <t>ヘンセイ</t>
    </rPh>
    <rPh sb="13" eb="15">
      <t>ジョウキョウ</t>
    </rPh>
    <rPh sb="16" eb="18">
      <t>キサイ</t>
    </rPh>
    <phoneticPr fontId="1"/>
  </si>
  <si>
    <t>(9)　様式6：年度開始月(4月)～申請月までを埋める</t>
    <rPh sb="4" eb="6">
      <t>ヨウシキ</t>
    </rPh>
    <rPh sb="8" eb="10">
      <t>ネンド</t>
    </rPh>
    <rPh sb="10" eb="12">
      <t>カイシ</t>
    </rPh>
    <rPh sb="12" eb="13">
      <t>ツキ</t>
    </rPh>
    <rPh sb="15" eb="16">
      <t>ガツ</t>
    </rPh>
    <rPh sb="18" eb="20">
      <t>シンセイ</t>
    </rPh>
    <rPh sb="20" eb="21">
      <t>ツキ</t>
    </rPh>
    <rPh sb="24" eb="25">
      <t>ウ</t>
    </rPh>
    <phoneticPr fontId="1"/>
  </si>
  <si>
    <t>　・同一又は系列法人内で運営する施設及び事業について全て記載すること。</t>
    <rPh sb="2" eb="4">
      <t>ドウイツ</t>
    </rPh>
    <rPh sb="4" eb="5">
      <t>マタ</t>
    </rPh>
    <rPh sb="6" eb="8">
      <t>ケイレツ</t>
    </rPh>
    <rPh sb="8" eb="10">
      <t>ホウジン</t>
    </rPh>
    <rPh sb="10" eb="11">
      <t>ナイ</t>
    </rPh>
    <rPh sb="12" eb="14">
      <t>ウンエイ</t>
    </rPh>
    <rPh sb="16" eb="18">
      <t>シセツ</t>
    </rPh>
    <rPh sb="18" eb="19">
      <t>オヨ</t>
    </rPh>
    <rPh sb="20" eb="22">
      <t>ジギョウ</t>
    </rPh>
    <rPh sb="26" eb="27">
      <t>スベ</t>
    </rPh>
    <rPh sb="28" eb="30">
      <t>キサイ</t>
    </rPh>
    <phoneticPr fontId="1"/>
  </si>
  <si>
    <t>施設名・事業名</t>
    <rPh sb="0" eb="2">
      <t>シセツ</t>
    </rPh>
    <rPh sb="2" eb="3">
      <t>メイ</t>
    </rPh>
    <rPh sb="4" eb="6">
      <t>ジギョウ</t>
    </rPh>
    <rPh sb="6" eb="7">
      <t>メイ</t>
    </rPh>
    <phoneticPr fontId="1"/>
  </si>
  <si>
    <t>(1)　様式1(総括表)：申請月、所在区、施設名入力→利用定員が正しいか確認</t>
    <rPh sb="4" eb="6">
      <t>ヨウシキ</t>
    </rPh>
    <rPh sb="8" eb="11">
      <t>ソウカツヒョウ</t>
    </rPh>
    <rPh sb="13" eb="15">
      <t>シンセイ</t>
    </rPh>
    <rPh sb="15" eb="16">
      <t>ツキ</t>
    </rPh>
    <rPh sb="17" eb="19">
      <t>ショザイ</t>
    </rPh>
    <rPh sb="19" eb="20">
      <t>ク</t>
    </rPh>
    <rPh sb="21" eb="23">
      <t>シセツ</t>
    </rPh>
    <rPh sb="23" eb="24">
      <t>メイ</t>
    </rPh>
    <rPh sb="24" eb="26">
      <t>ニュウリョク</t>
    </rPh>
    <rPh sb="27" eb="29">
      <t>リヨウ</t>
    </rPh>
    <rPh sb="29" eb="31">
      <t>テイイン</t>
    </rPh>
    <rPh sb="32" eb="33">
      <t>タダ</t>
    </rPh>
    <rPh sb="36" eb="38">
      <t>カクニン</t>
    </rPh>
    <phoneticPr fontId="1"/>
  </si>
  <si>
    <t>01私立</t>
    <phoneticPr fontId="1"/>
  </si>
  <si>
    <t>01保育所</t>
    <phoneticPr fontId="1"/>
  </si>
  <si>
    <t>保</t>
    <phoneticPr fontId="1"/>
  </si>
  <si>
    <t>中央区</t>
    <phoneticPr fontId="1"/>
  </si>
  <si>
    <t>札幌市未来局保育園【例】</t>
    <rPh sb="0" eb="3">
      <t>サッポロシ</t>
    </rPh>
    <rPh sb="3" eb="5">
      <t>ミライ</t>
    </rPh>
    <rPh sb="5" eb="6">
      <t>キョク</t>
    </rPh>
    <rPh sb="6" eb="9">
      <t>ホイクエン</t>
    </rPh>
    <rPh sb="10" eb="11">
      <t>レイ</t>
    </rPh>
    <phoneticPr fontId="1"/>
  </si>
  <si>
    <t>ソート①</t>
    <phoneticPr fontId="1"/>
  </si>
  <si>
    <t>ソート②</t>
    <phoneticPr fontId="1"/>
  </si>
  <si>
    <t>キャリアを積んだチームリーダーの位置づけ等チーム保育体制を整備している
※　チーム保育体制：年齢別配置基準を超えて、主に3～5歳児について複数の保育士を配置する保育体制</t>
    <rPh sb="5" eb="6">
      <t>ツ</t>
    </rPh>
    <rPh sb="16" eb="18">
      <t>イチ</t>
    </rPh>
    <rPh sb="20" eb="21">
      <t>トウ</t>
    </rPh>
    <rPh sb="24" eb="26">
      <t>ホイク</t>
    </rPh>
    <rPh sb="26" eb="28">
      <t>タイセイ</t>
    </rPh>
    <rPh sb="29" eb="31">
      <t>セイビ</t>
    </rPh>
    <rPh sb="41" eb="43">
      <t>ホイク</t>
    </rPh>
    <rPh sb="43" eb="45">
      <t>タイセイ</t>
    </rPh>
    <rPh sb="46" eb="48">
      <t>ネンレイ</t>
    </rPh>
    <rPh sb="48" eb="49">
      <t>ベツ</t>
    </rPh>
    <rPh sb="49" eb="51">
      <t>ハイチ</t>
    </rPh>
    <rPh sb="51" eb="53">
      <t>キジュン</t>
    </rPh>
    <rPh sb="54" eb="55">
      <t>コ</t>
    </rPh>
    <rPh sb="58" eb="59">
      <t>オモ</t>
    </rPh>
    <rPh sb="63" eb="65">
      <t>サイジ</t>
    </rPh>
    <rPh sb="69" eb="71">
      <t>フクスウ</t>
    </rPh>
    <rPh sb="72" eb="75">
      <t>ホイクシ</t>
    </rPh>
    <rPh sb="76" eb="78">
      <t>ハイチ</t>
    </rPh>
    <rPh sb="80" eb="82">
      <t>ホイク</t>
    </rPh>
    <rPh sb="82" eb="84">
      <t>タイセイ</t>
    </rPh>
    <phoneticPr fontId="1"/>
  </si>
  <si>
    <t>未入力×/不要△</t>
    <rPh sb="0" eb="3">
      <t>ミニュウリョク</t>
    </rPh>
    <rPh sb="5" eb="7">
      <t>フヨウ</t>
    </rPh>
    <phoneticPr fontId="1"/>
  </si>
  <si>
    <t>超過1/未超過2</t>
    <rPh sb="0" eb="2">
      <t>チョウカ</t>
    </rPh>
    <rPh sb="4" eb="5">
      <t>ミ</t>
    </rPh>
    <rPh sb="5" eb="7">
      <t>チョウカ</t>
    </rPh>
    <phoneticPr fontId="1"/>
  </si>
  <si>
    <t>（前月分確認）</t>
    <rPh sb="1" eb="3">
      <t>ゼンゲツ</t>
    </rPh>
    <rPh sb="3" eb="4">
      <t>ブン</t>
    </rPh>
    <rPh sb="4" eb="6">
      <t>カクニン</t>
    </rPh>
    <phoneticPr fontId="1"/>
  </si>
  <si>
    <t>※1　休日保育に係り共同保育が実施できる施設は、保育所、幼稚園、認定こども園、地域型保育事業所（居宅訪問型保育事業所は除く）、企業主導型保育施設のみ。ただし、いずれも事前に札幌市子ども未来局に届出を行い事前に許可されていること</t>
    <rPh sb="3" eb="5">
      <t>キュウジツ</t>
    </rPh>
    <rPh sb="5" eb="7">
      <t>ホイク</t>
    </rPh>
    <rPh sb="8" eb="9">
      <t>カカ</t>
    </rPh>
    <rPh sb="10" eb="12">
      <t>キョウドウ</t>
    </rPh>
    <rPh sb="12" eb="14">
      <t>ホイク</t>
    </rPh>
    <rPh sb="15" eb="17">
      <t>ジッシ</t>
    </rPh>
    <rPh sb="20" eb="22">
      <t>シセツ</t>
    </rPh>
    <rPh sb="24" eb="26">
      <t>ホイク</t>
    </rPh>
    <rPh sb="26" eb="27">
      <t>ショ</t>
    </rPh>
    <rPh sb="28" eb="31">
      <t>ヨウチエン</t>
    </rPh>
    <rPh sb="32" eb="34">
      <t>ニンテイ</t>
    </rPh>
    <rPh sb="37" eb="38">
      <t>エン</t>
    </rPh>
    <rPh sb="39" eb="42">
      <t>チイキガタ</t>
    </rPh>
    <rPh sb="42" eb="44">
      <t>ホイク</t>
    </rPh>
    <rPh sb="44" eb="47">
      <t>ジギョウショ</t>
    </rPh>
    <rPh sb="48" eb="50">
      <t>キョタク</t>
    </rPh>
    <rPh sb="50" eb="52">
      <t>ホウモン</t>
    </rPh>
    <rPh sb="52" eb="53">
      <t>ガタ</t>
    </rPh>
    <rPh sb="53" eb="55">
      <t>ホイク</t>
    </rPh>
    <rPh sb="55" eb="58">
      <t>ジギョウショ</t>
    </rPh>
    <rPh sb="59" eb="60">
      <t>ノゾ</t>
    </rPh>
    <rPh sb="63" eb="65">
      <t>キギョウ</t>
    </rPh>
    <rPh sb="65" eb="68">
      <t>シュドウガタ</t>
    </rPh>
    <rPh sb="68" eb="70">
      <t>ホイク</t>
    </rPh>
    <rPh sb="70" eb="72">
      <t>シセツ</t>
    </rPh>
    <rPh sb="83" eb="85">
      <t>ジゼン</t>
    </rPh>
    <rPh sb="86" eb="89">
      <t>サッポロシ</t>
    </rPh>
    <rPh sb="89" eb="90">
      <t>コ</t>
    </rPh>
    <rPh sb="92" eb="94">
      <t>ミライ</t>
    </rPh>
    <rPh sb="94" eb="95">
      <t>キョク</t>
    </rPh>
    <rPh sb="96" eb="98">
      <t>トドケデ</t>
    </rPh>
    <rPh sb="99" eb="100">
      <t>オコナ</t>
    </rPh>
    <rPh sb="101" eb="103">
      <t>ジゼン</t>
    </rPh>
    <rPh sb="104" eb="106">
      <t>キョカ</t>
    </rPh>
    <phoneticPr fontId="1"/>
  </si>
  <si>
    <t>②　共同保育実施施設は、共同保育により年間を通じて開所する場合の実施要綱や運営規定</t>
    <rPh sb="2" eb="4">
      <t>キョウドウ</t>
    </rPh>
    <rPh sb="4" eb="6">
      <t>ホイク</t>
    </rPh>
    <rPh sb="6" eb="8">
      <t>ジッシ</t>
    </rPh>
    <rPh sb="8" eb="10">
      <t>シセツ</t>
    </rPh>
    <rPh sb="12" eb="14">
      <t>キョウドウ</t>
    </rPh>
    <rPh sb="14" eb="16">
      <t>ホイク</t>
    </rPh>
    <rPh sb="19" eb="21">
      <t>ネンカン</t>
    </rPh>
    <rPh sb="22" eb="23">
      <t>ツウ</t>
    </rPh>
    <rPh sb="25" eb="27">
      <t>カイショ</t>
    </rPh>
    <rPh sb="29" eb="31">
      <t>バアイ</t>
    </rPh>
    <rPh sb="32" eb="34">
      <t>ジッシ</t>
    </rPh>
    <rPh sb="34" eb="36">
      <t>ヨウコウ</t>
    </rPh>
    <rPh sb="37" eb="39">
      <t>ウンエイ</t>
    </rPh>
    <rPh sb="39" eb="41">
      <t>キテイ</t>
    </rPh>
    <phoneticPr fontId="1"/>
  </si>
  <si>
    <t>共同保育※1により年間を通じて保育を提供する体制を確保している</t>
    <rPh sb="0" eb="2">
      <t>キョウドウ</t>
    </rPh>
    <rPh sb="2" eb="4">
      <t>ホイク</t>
    </rPh>
    <rPh sb="9" eb="11">
      <t>ネンカン</t>
    </rPh>
    <rPh sb="12" eb="13">
      <t>ツウ</t>
    </rPh>
    <rPh sb="15" eb="17">
      <t>ホイク</t>
    </rPh>
    <rPh sb="18" eb="20">
      <t>テイキョウ</t>
    </rPh>
    <rPh sb="22" eb="24">
      <t>タイセイ</t>
    </rPh>
    <rPh sb="25" eb="27">
      <t>カクホ</t>
    </rPh>
    <phoneticPr fontId="1"/>
  </si>
  <si>
    <t>年月日</t>
    <rPh sb="0" eb="2">
      <t>ネンゲツ</t>
    </rPh>
    <rPh sb="2" eb="3">
      <t>ニチ</t>
    </rPh>
    <phoneticPr fontId="1"/>
  </si>
  <si>
    <t>雇用契約等により配置（様式2及び様式5）</t>
    <rPh sb="0" eb="2">
      <t>コヨウ</t>
    </rPh>
    <rPh sb="2" eb="4">
      <t>ケイヤク</t>
    </rPh>
    <rPh sb="4" eb="5">
      <t>トウ</t>
    </rPh>
    <rPh sb="8" eb="10">
      <t>ハイチ</t>
    </rPh>
    <rPh sb="11" eb="13">
      <t>ヨウシキ</t>
    </rPh>
    <rPh sb="14" eb="15">
      <t>オヨ</t>
    </rPh>
    <rPh sb="16" eb="18">
      <t>ヨウシキ</t>
    </rPh>
    <phoneticPr fontId="1"/>
  </si>
  <si>
    <t>②　</t>
    <phoneticPr fontId="1"/>
  </si>
  <si>
    <t>①</t>
    <phoneticPr fontId="1"/>
  </si>
  <si>
    <t>加算要件
(1～2の適用状況に応じて、適合した配置区分を加算)</t>
    <rPh sb="0" eb="2">
      <t>カサン</t>
    </rPh>
    <rPh sb="2" eb="4">
      <t>ヨウケン</t>
    </rPh>
    <rPh sb="10" eb="12">
      <t>テキヨウ</t>
    </rPh>
    <rPh sb="12" eb="14">
      <t>ジョウキョウ</t>
    </rPh>
    <rPh sb="15" eb="16">
      <t>オウ</t>
    </rPh>
    <rPh sb="19" eb="21">
      <t>テキゴウ</t>
    </rPh>
    <rPh sb="23" eb="25">
      <t>ハイチ</t>
    </rPh>
    <rPh sb="25" eb="27">
      <t>クブン</t>
    </rPh>
    <rPh sb="28" eb="30">
      <t>カサン</t>
    </rPh>
    <phoneticPr fontId="1"/>
  </si>
  <si>
    <t>配置</t>
    <rPh sb="0" eb="2">
      <t>ハイチ</t>
    </rPh>
    <phoneticPr fontId="1"/>
  </si>
  <si>
    <t>兼務</t>
    <rPh sb="0" eb="2">
      <t>ケンム</t>
    </rPh>
    <phoneticPr fontId="1"/>
  </si>
  <si>
    <t>嘱託</t>
    <rPh sb="0" eb="2">
      <t>ショクタク</t>
    </rPh>
    <phoneticPr fontId="1"/>
  </si>
  <si>
    <t>列1</t>
  </si>
  <si>
    <t>カウント</t>
  </si>
  <si>
    <r>
      <t>調理員（栄養士含む）（①～②のうち</t>
    </r>
    <r>
      <rPr>
        <sz val="10"/>
        <color rgb="FFFF0000"/>
        <rFont val="ＭＳ 明朝"/>
        <family val="1"/>
        <charset val="128"/>
      </rPr>
      <t>一つを選択※1</t>
    </r>
    <r>
      <rPr>
        <sz val="10"/>
        <rFont val="ＭＳ 明朝"/>
        <family val="1"/>
        <charset val="128"/>
      </rPr>
      <t>）</t>
    </r>
    <rPh sb="0" eb="3">
      <t>チョウリイン</t>
    </rPh>
    <rPh sb="4" eb="7">
      <t>エイヨウシ</t>
    </rPh>
    <rPh sb="7" eb="8">
      <t>フク</t>
    </rPh>
    <rPh sb="17" eb="18">
      <t>ヒト</t>
    </rPh>
    <rPh sb="20" eb="22">
      <t>センタク</t>
    </rPh>
    <phoneticPr fontId="1"/>
  </si>
  <si>
    <t>エラー</t>
    <phoneticPr fontId="1"/>
  </si>
  <si>
    <t>整合性</t>
    <rPh sb="0" eb="3">
      <t>セイゴウセイ</t>
    </rPh>
    <phoneticPr fontId="1"/>
  </si>
  <si>
    <t>漏れ</t>
    <rPh sb="0" eb="1">
      <t>モ</t>
    </rPh>
    <phoneticPr fontId="1"/>
  </si>
  <si>
    <t>取得年月日</t>
    <rPh sb="0" eb="2">
      <t>シュトク</t>
    </rPh>
    <rPh sb="2" eb="4">
      <t>ネンゲツ</t>
    </rPh>
    <rPh sb="4" eb="5">
      <t>ニチ</t>
    </rPh>
    <phoneticPr fontId="1"/>
  </si>
  <si>
    <t>別紙2</t>
    <rPh sb="0" eb="2">
      <t>ベッシ</t>
    </rPh>
    <phoneticPr fontId="1"/>
  </si>
  <si>
    <t>各年度の年間平均在所率が120％以上(５年度間継続)</t>
    <rPh sb="0" eb="3">
      <t>カクネンド</t>
    </rPh>
    <rPh sb="4" eb="6">
      <t>ネンカン</t>
    </rPh>
    <rPh sb="6" eb="8">
      <t>ヘイキン</t>
    </rPh>
    <rPh sb="8" eb="10">
      <t>ザイショ</t>
    </rPh>
    <rPh sb="10" eb="11">
      <t>リツ</t>
    </rPh>
    <rPh sb="16" eb="18">
      <t>イジョウ</t>
    </rPh>
    <rPh sb="20" eb="22">
      <t>ネンド</t>
    </rPh>
    <rPh sb="22" eb="23">
      <t>カン</t>
    </rPh>
    <rPh sb="23" eb="25">
      <t>ケイゾク</t>
    </rPh>
    <phoneticPr fontId="1"/>
  </si>
  <si>
    <t>10　施設長を配置していない場合</t>
    <rPh sb="3" eb="6">
      <t>シセツチョウ</t>
    </rPh>
    <rPh sb="7" eb="9">
      <t>ハイチ</t>
    </rPh>
    <rPh sb="14" eb="16">
      <t>バアイ</t>
    </rPh>
    <phoneticPr fontId="1"/>
  </si>
  <si>
    <t>本加算に係る栄養士が雇用契約等により配置されている場合（兼務に該当する場合を除く）</t>
    <rPh sb="0" eb="1">
      <t>ホン</t>
    </rPh>
    <rPh sb="1" eb="3">
      <t>カサン</t>
    </rPh>
    <rPh sb="4" eb="5">
      <t>カカ</t>
    </rPh>
    <rPh sb="6" eb="9">
      <t>エイヨウシ</t>
    </rPh>
    <rPh sb="10" eb="12">
      <t>コヨウ</t>
    </rPh>
    <rPh sb="12" eb="14">
      <t>ケイヤク</t>
    </rPh>
    <rPh sb="14" eb="15">
      <t>トウ</t>
    </rPh>
    <rPh sb="18" eb="20">
      <t>ハイチ</t>
    </rPh>
    <rPh sb="25" eb="27">
      <t>バアイ</t>
    </rPh>
    <rPh sb="28" eb="30">
      <t>ケンム</t>
    </rPh>
    <rPh sb="31" eb="33">
      <t>ガイトウ</t>
    </rPh>
    <rPh sb="35" eb="37">
      <t>バアイ</t>
    </rPh>
    <rPh sb="38" eb="39">
      <t>ノゾ</t>
    </rPh>
    <phoneticPr fontId="1"/>
  </si>
  <si>
    <t>基本分単価や他の加算の認定に当たって求められる職員が、本加算に係る栄養士としての業務を兼務している場合</t>
    <rPh sb="0" eb="2">
      <t>キホン</t>
    </rPh>
    <rPh sb="2" eb="3">
      <t>ブン</t>
    </rPh>
    <rPh sb="3" eb="5">
      <t>タンカ</t>
    </rPh>
    <rPh sb="6" eb="7">
      <t>タ</t>
    </rPh>
    <rPh sb="8" eb="10">
      <t>カサン</t>
    </rPh>
    <rPh sb="11" eb="13">
      <t>ニンテイ</t>
    </rPh>
    <rPh sb="14" eb="15">
      <t>ア</t>
    </rPh>
    <rPh sb="18" eb="19">
      <t>モト</t>
    </rPh>
    <rPh sb="23" eb="25">
      <t>ショクイン</t>
    </rPh>
    <rPh sb="27" eb="28">
      <t>ホン</t>
    </rPh>
    <rPh sb="28" eb="30">
      <t>カサン</t>
    </rPh>
    <rPh sb="31" eb="32">
      <t>カカ</t>
    </rPh>
    <rPh sb="33" eb="36">
      <t>エイヨウシ</t>
    </rPh>
    <rPh sb="40" eb="42">
      <t>ギョウム</t>
    </rPh>
    <rPh sb="43" eb="45">
      <t>ケンム</t>
    </rPh>
    <rPh sb="49" eb="51">
      <t>バアイ</t>
    </rPh>
    <phoneticPr fontId="1"/>
  </si>
  <si>
    <t>上記以外で、本加算に係る栄養士としての業務を嘱託等する場合</t>
    <rPh sb="0" eb="2">
      <t>ジョウキ</t>
    </rPh>
    <rPh sb="2" eb="4">
      <t>イガイ</t>
    </rPh>
    <rPh sb="6" eb="7">
      <t>ホン</t>
    </rPh>
    <rPh sb="7" eb="9">
      <t>カサン</t>
    </rPh>
    <rPh sb="10" eb="11">
      <t>カカ</t>
    </rPh>
    <rPh sb="12" eb="15">
      <t>エイヨウシ</t>
    </rPh>
    <rPh sb="19" eb="21">
      <t>ギョウム</t>
    </rPh>
    <rPh sb="22" eb="24">
      <t>ショクタク</t>
    </rPh>
    <rPh sb="24" eb="25">
      <t>トウ</t>
    </rPh>
    <rPh sb="27" eb="29">
      <t>バアイ</t>
    </rPh>
    <phoneticPr fontId="1"/>
  </si>
  <si>
    <t>事務（専従）を配置している（園長等が兼務もしくは業務委託している場合は配置不要）</t>
    <rPh sb="0" eb="2">
      <t>ジム</t>
    </rPh>
    <rPh sb="3" eb="5">
      <t>センジュウ</t>
    </rPh>
    <rPh sb="7" eb="9">
      <t>ハイチ</t>
    </rPh>
    <rPh sb="14" eb="16">
      <t>エンチョウ</t>
    </rPh>
    <rPh sb="16" eb="17">
      <t>トウ</t>
    </rPh>
    <rPh sb="18" eb="20">
      <t>ケンム</t>
    </rPh>
    <rPh sb="24" eb="26">
      <t>ギョウム</t>
    </rPh>
    <rPh sb="26" eb="28">
      <t>イタク</t>
    </rPh>
    <rPh sb="32" eb="34">
      <t>バアイ</t>
    </rPh>
    <rPh sb="35" eb="37">
      <t>ハイチ</t>
    </rPh>
    <rPh sb="37" eb="39">
      <t>フヨウ</t>
    </rPh>
    <phoneticPr fontId="1"/>
  </si>
  <si>
    <t>※2　施設長については、「施設長を配置していない場合」で確認</t>
    <rPh sb="3" eb="6">
      <t>シセツチョウ</t>
    </rPh>
    <rPh sb="13" eb="16">
      <t>シセツチョウ</t>
    </rPh>
    <rPh sb="17" eb="19">
      <t>ハイチ</t>
    </rPh>
    <rPh sb="24" eb="26">
      <t>バアイ</t>
    </rPh>
    <rPh sb="28" eb="30">
      <t>カクニン</t>
    </rPh>
    <phoneticPr fontId="1"/>
  </si>
  <si>
    <t>必要保育士数を超えて保育士を配置している</t>
    <rPh sb="0" eb="2">
      <t>ヒツヨウ</t>
    </rPh>
    <rPh sb="2" eb="4">
      <t>ホイク</t>
    </rPh>
    <rPh sb="4" eb="5">
      <t>シ</t>
    </rPh>
    <rPh sb="5" eb="6">
      <t>スウ</t>
    </rPh>
    <rPh sb="7" eb="8">
      <t>コ</t>
    </rPh>
    <rPh sb="10" eb="12">
      <t>ホイク</t>
    </rPh>
    <rPh sb="12" eb="13">
      <t>シ</t>
    </rPh>
    <rPh sb="14" eb="16">
      <t>ハイチ</t>
    </rPh>
    <phoneticPr fontId="1"/>
  </si>
  <si>
    <t>適切な従事経験等を有している</t>
    <rPh sb="0" eb="2">
      <t>テキセツ</t>
    </rPh>
    <rPh sb="3" eb="5">
      <t>ジュウジ</t>
    </rPh>
    <rPh sb="5" eb="7">
      <t>ケイケン</t>
    </rPh>
    <rPh sb="7" eb="8">
      <t>トウ</t>
    </rPh>
    <rPh sb="9" eb="10">
      <t>ユウ</t>
    </rPh>
    <phoneticPr fontId="1"/>
  </si>
  <si>
    <t xml:space="preserve"> 減算要件
（１～４の要件を1つでも満たしていない場合に減算）</t>
    <rPh sb="1" eb="3">
      <t>ゲンサン</t>
    </rPh>
    <rPh sb="3" eb="5">
      <t>ヨウケン</t>
    </rPh>
    <rPh sb="19" eb="20">
      <t>ミ</t>
    </rPh>
    <rPh sb="26" eb="28">
      <t>バアイ</t>
    </rPh>
    <rPh sb="29" eb="31">
      <t>ゲンサン</t>
    </rPh>
    <phoneticPr fontId="1"/>
  </si>
  <si>
    <r>
      <t>常時実際にその施設の運営管理の業務に専従している</t>
    </r>
    <r>
      <rPr>
        <vertAlign val="superscript"/>
        <sz val="10"/>
        <rFont val="ＭＳ 明朝"/>
        <family val="1"/>
        <charset val="128"/>
      </rPr>
      <t>※２</t>
    </r>
    <rPh sb="0" eb="2">
      <t>ジョウジ</t>
    </rPh>
    <rPh sb="2" eb="4">
      <t>ジッサイ</t>
    </rPh>
    <rPh sb="7" eb="9">
      <t>シセツ</t>
    </rPh>
    <rPh sb="10" eb="12">
      <t>ウンエイ</t>
    </rPh>
    <rPh sb="12" eb="14">
      <t>カンリ</t>
    </rPh>
    <rPh sb="15" eb="17">
      <t>ギョウム</t>
    </rPh>
    <rPh sb="18" eb="20">
      <t>センジュウ</t>
    </rPh>
    <phoneticPr fontId="1"/>
  </si>
  <si>
    <t>委託費(給付費)から給与を支出している</t>
    <rPh sb="0" eb="2">
      <t>イタク</t>
    </rPh>
    <rPh sb="2" eb="3">
      <t>ヒ</t>
    </rPh>
    <rPh sb="4" eb="6">
      <t>キュウフ</t>
    </rPh>
    <rPh sb="6" eb="7">
      <t>ヒ</t>
    </rPh>
    <rPh sb="10" eb="12">
      <t>キュウヨ</t>
    </rPh>
    <rPh sb="13" eb="15">
      <t>シシュツ</t>
    </rPh>
    <phoneticPr fontId="1"/>
  </si>
  <si>
    <t>代替（助成金等対象）</t>
    <rPh sb="0" eb="2">
      <t>ダイタイ</t>
    </rPh>
    <rPh sb="3" eb="6">
      <t>ジョセイキン</t>
    </rPh>
    <rPh sb="6" eb="7">
      <t>トウ</t>
    </rPh>
    <rPh sb="7" eb="9">
      <t>タイショウ</t>
    </rPh>
    <phoneticPr fontId="1"/>
  </si>
  <si>
    <t>・　入力する時間は実勤務時間とし、休憩時間は含めないでください。</t>
    <rPh sb="2" eb="4">
      <t>ニュウリョク</t>
    </rPh>
    <rPh sb="6" eb="8">
      <t>ジカン</t>
    </rPh>
    <rPh sb="9" eb="10">
      <t>ジツ</t>
    </rPh>
    <rPh sb="10" eb="12">
      <t>キンム</t>
    </rPh>
    <rPh sb="12" eb="14">
      <t>ジカン</t>
    </rPh>
    <rPh sb="17" eb="19">
      <t>キュウケイ</t>
    </rPh>
    <rPh sb="19" eb="21">
      <t>ジカン</t>
    </rPh>
    <rPh sb="22" eb="23">
      <t>フク</t>
    </rPh>
    <phoneticPr fontId="1"/>
  </si>
  <si>
    <t>選択</t>
    <rPh sb="0" eb="2">
      <t>センタク</t>
    </rPh>
    <phoneticPr fontId="1"/>
  </si>
  <si>
    <t>○</t>
    <phoneticPr fontId="1"/>
  </si>
  <si>
    <t>※2　他の保育所等との共同保育により、利用希望者の保育を確保・実施した場合は利用児童数に含めること。
　ただし、共同保育により相手施設から受け入れた児童数は含めないこと。</t>
    <rPh sb="3" eb="4">
      <t>タ</t>
    </rPh>
    <rPh sb="5" eb="7">
      <t>ホイク</t>
    </rPh>
    <rPh sb="7" eb="8">
      <t>ショ</t>
    </rPh>
    <rPh sb="8" eb="9">
      <t>トウ</t>
    </rPh>
    <rPh sb="11" eb="13">
      <t>キョウドウ</t>
    </rPh>
    <rPh sb="13" eb="15">
      <t>ホイク</t>
    </rPh>
    <rPh sb="19" eb="21">
      <t>リヨウ</t>
    </rPh>
    <rPh sb="21" eb="24">
      <t>キボウシャ</t>
    </rPh>
    <rPh sb="25" eb="27">
      <t>ホイク</t>
    </rPh>
    <rPh sb="28" eb="30">
      <t>カクホ</t>
    </rPh>
    <rPh sb="31" eb="33">
      <t>ジッシ</t>
    </rPh>
    <rPh sb="35" eb="37">
      <t>バアイ</t>
    </rPh>
    <rPh sb="38" eb="40">
      <t>リヨウ</t>
    </rPh>
    <rPh sb="40" eb="42">
      <t>ジドウ</t>
    </rPh>
    <rPh sb="42" eb="43">
      <t>スウ</t>
    </rPh>
    <rPh sb="44" eb="45">
      <t>フク</t>
    </rPh>
    <rPh sb="56" eb="58">
      <t>キョウドウ</t>
    </rPh>
    <rPh sb="58" eb="60">
      <t>ホイク</t>
    </rPh>
    <rPh sb="63" eb="65">
      <t>アイテ</t>
    </rPh>
    <rPh sb="65" eb="67">
      <t>シセツ</t>
    </rPh>
    <rPh sb="69" eb="70">
      <t>ウ</t>
    </rPh>
    <rPh sb="71" eb="72">
      <t>イ</t>
    </rPh>
    <rPh sb="74" eb="76">
      <t>ジドウ</t>
    </rPh>
    <rPh sb="76" eb="77">
      <t>スウ</t>
    </rPh>
    <rPh sb="78" eb="79">
      <t>フク</t>
    </rPh>
    <phoneticPr fontId="1"/>
  </si>
  <si>
    <t>減算(実績)</t>
    <rPh sb="0" eb="2">
      <t>ゲンサン</t>
    </rPh>
    <rPh sb="3" eb="5">
      <t>ジッセキ</t>
    </rPh>
    <phoneticPr fontId="1"/>
  </si>
  <si>
    <t>別紙１（「減算：施設長を設置していない場合」の添付書類）</t>
    <rPh sb="0" eb="2">
      <t>ベッシ</t>
    </rPh>
    <rPh sb="5" eb="7">
      <t>ゲンサン</t>
    </rPh>
    <rPh sb="8" eb="11">
      <t>シセツチョウ</t>
    </rPh>
    <rPh sb="12" eb="14">
      <t>セッチ</t>
    </rPh>
    <rPh sb="19" eb="21">
      <t>バアイ</t>
    </rPh>
    <rPh sb="23" eb="25">
      <t>テンプ</t>
    </rPh>
    <rPh sb="25" eb="27">
      <t>ショルイ</t>
    </rPh>
    <phoneticPr fontId="1"/>
  </si>
  <si>
    <t>休日保育を今年度初めて実施する場合は○を選択すること➡</t>
    <rPh sb="0" eb="2">
      <t>キュウジツ</t>
    </rPh>
    <rPh sb="2" eb="4">
      <t>ホイク</t>
    </rPh>
    <rPh sb="5" eb="8">
      <t>コンネンド</t>
    </rPh>
    <rPh sb="8" eb="9">
      <t>ハジ</t>
    </rPh>
    <rPh sb="11" eb="13">
      <t>ジッシ</t>
    </rPh>
    <rPh sb="15" eb="17">
      <t>バアイ</t>
    </rPh>
    <rPh sb="20" eb="22">
      <t>センタク</t>
    </rPh>
    <phoneticPr fontId="1"/>
  </si>
  <si>
    <t>実施計画</t>
    <rPh sb="0" eb="4">
      <t>ジッシケイカク</t>
    </rPh>
    <phoneticPr fontId="1"/>
  </si>
  <si>
    <t>実施日</t>
    <rPh sb="0" eb="3">
      <t>ジッシビ</t>
    </rPh>
    <phoneticPr fontId="1"/>
  </si>
  <si>
    <t>日曜日、祝日</t>
    <rPh sb="0" eb="2">
      <t>ニチヨウ</t>
    </rPh>
    <rPh sb="2" eb="3">
      <t>ビ</t>
    </rPh>
    <rPh sb="4" eb="6">
      <t>シュクジツ</t>
    </rPh>
    <phoneticPr fontId="1"/>
  </si>
  <si>
    <t>時間帯</t>
    <rPh sb="0" eb="3">
      <t>ジカンタイ</t>
    </rPh>
    <phoneticPr fontId="1"/>
  </si>
  <si>
    <t>短時間</t>
    <rPh sb="0" eb="3">
      <t>タンジカン</t>
    </rPh>
    <phoneticPr fontId="1"/>
  </si>
  <si>
    <t>標準時間</t>
    <rPh sb="0" eb="2">
      <t>ヒョウジュン</t>
    </rPh>
    <rPh sb="2" eb="4">
      <t>ジカン</t>
    </rPh>
    <phoneticPr fontId="1"/>
  </si>
  <si>
    <t>時</t>
    <rPh sb="0" eb="1">
      <t>ジ</t>
    </rPh>
    <phoneticPr fontId="1"/>
  </si>
  <si>
    <t>分</t>
    <rPh sb="0" eb="1">
      <t>フン</t>
    </rPh>
    <phoneticPr fontId="1"/>
  </si>
  <si>
    <t>～</t>
    <phoneticPr fontId="1"/>
  </si>
  <si>
    <t>利用児童数</t>
    <rPh sb="0" eb="2">
      <t>リヨウ</t>
    </rPh>
    <rPh sb="2" eb="5">
      <t>ジドウスウ</t>
    </rPh>
    <phoneticPr fontId="1"/>
  </si>
  <si>
    <t>料金</t>
    <rPh sb="0" eb="2">
      <t>リョウキン</t>
    </rPh>
    <phoneticPr fontId="1"/>
  </si>
  <si>
    <t>単位</t>
    <rPh sb="0" eb="2">
      <t>タンイ</t>
    </rPh>
    <phoneticPr fontId="1"/>
  </si>
  <si>
    <t>金額</t>
    <rPh sb="0" eb="2">
      <t>キンガク</t>
    </rPh>
    <phoneticPr fontId="1"/>
  </si>
  <si>
    <t>円</t>
    <rPh sb="0" eb="1">
      <t>エン</t>
    </rPh>
    <phoneticPr fontId="1"/>
  </si>
  <si>
    <t>料金単位</t>
    <rPh sb="0" eb="2">
      <t>リョウキン</t>
    </rPh>
    <rPh sb="2" eb="4">
      <t>タンイ</t>
    </rPh>
    <phoneticPr fontId="1"/>
  </si>
  <si>
    <t>１時間当たり</t>
    <rPh sb="1" eb="4">
      <t>ジカンア</t>
    </rPh>
    <phoneticPr fontId="1"/>
  </si>
  <si>
    <t>その他（　）</t>
    <rPh sb="2" eb="3">
      <t>タ</t>
    </rPh>
    <phoneticPr fontId="1"/>
  </si>
  <si>
    <t>職員体制</t>
    <rPh sb="0" eb="4">
      <t>ショクインタイセイ</t>
    </rPh>
    <phoneticPr fontId="1"/>
  </si>
  <si>
    <t>体制</t>
    <rPh sb="0" eb="2">
      <t>タイセイ</t>
    </rPh>
    <phoneticPr fontId="1"/>
  </si>
  <si>
    <t>給与</t>
    <rPh sb="0" eb="2">
      <t>キュウヨ</t>
    </rPh>
    <phoneticPr fontId="1"/>
  </si>
  <si>
    <t>平日勤務の職員によるシフト制</t>
    <rPh sb="0" eb="2">
      <t>ヘイジツ</t>
    </rPh>
    <rPh sb="2" eb="4">
      <t>キンム</t>
    </rPh>
    <rPh sb="5" eb="7">
      <t>ショクイン</t>
    </rPh>
    <rPh sb="13" eb="14">
      <t>セイ</t>
    </rPh>
    <phoneticPr fontId="1"/>
  </si>
  <si>
    <t>休日保育専従職員配置</t>
    <rPh sb="0" eb="4">
      <t>キュウジツホイク</t>
    </rPh>
    <rPh sb="4" eb="6">
      <t>センジュウ</t>
    </rPh>
    <rPh sb="6" eb="8">
      <t>ショクイン</t>
    </rPh>
    <rPh sb="8" eb="10">
      <t>ハイチ</t>
    </rPh>
    <phoneticPr fontId="1"/>
  </si>
  <si>
    <t>給与区分</t>
    <rPh sb="0" eb="2">
      <t>キュウヨ</t>
    </rPh>
    <rPh sb="2" eb="4">
      <t>クブン</t>
    </rPh>
    <phoneticPr fontId="1"/>
  </si>
  <si>
    <t>通常給与と超過勤務の混合</t>
    <rPh sb="0" eb="4">
      <t>ツウジョウキュウヨ</t>
    </rPh>
    <rPh sb="5" eb="9">
      <t>チョウカキンム</t>
    </rPh>
    <rPh sb="10" eb="12">
      <t>コンゴウ</t>
    </rPh>
    <phoneticPr fontId="1"/>
  </si>
  <si>
    <t>全て通常給与</t>
    <rPh sb="0" eb="1">
      <t>スベ</t>
    </rPh>
    <rPh sb="2" eb="6">
      <t>ツウジョウキュウヨ</t>
    </rPh>
    <phoneticPr fontId="1"/>
  </si>
  <si>
    <t>全て超過勤務</t>
    <rPh sb="0" eb="1">
      <t>スベ</t>
    </rPh>
    <rPh sb="2" eb="6">
      <t>チョウカキンム</t>
    </rPh>
    <phoneticPr fontId="1"/>
  </si>
  <si>
    <t>実施</t>
    <rPh sb="0" eb="2">
      <t>ジッシ</t>
    </rPh>
    <phoneticPr fontId="1"/>
  </si>
  <si>
    <t>実施している</t>
    <rPh sb="0" eb="2">
      <t>ジッシ</t>
    </rPh>
    <phoneticPr fontId="1"/>
  </si>
  <si>
    <t>実施していない</t>
    <rPh sb="0" eb="2">
      <t>ジッシ</t>
    </rPh>
    <phoneticPr fontId="1"/>
  </si>
  <si>
    <t>円/食</t>
    <rPh sb="0" eb="1">
      <t>エン</t>
    </rPh>
    <rPh sb="2" eb="3">
      <t>ショク</t>
    </rPh>
    <phoneticPr fontId="1"/>
  </si>
  <si>
    <t>※2　対象となる子どもは、原則、休日等に常態的に保育を必要とする保育認定子どもであること</t>
    <phoneticPr fontId="1"/>
  </si>
  <si>
    <t>１日当たり</t>
    <rPh sb="1" eb="3">
      <t>ニチア</t>
    </rPh>
    <phoneticPr fontId="1"/>
  </si>
  <si>
    <t>１月当たり</t>
    <rPh sb="1" eb="3">
      <t>ツキア</t>
    </rPh>
    <phoneticPr fontId="1"/>
  </si>
  <si>
    <t>※4　休日延べ利用子ども数には、休日等に当該休日保育対象施設を利用する休日保育対象施設以外の特定教育・保育施設又は特定地域型保育事業を利用する子どもを含むこと</t>
    <rPh sb="3" eb="5">
      <t>キュウジツ</t>
    </rPh>
    <rPh sb="5" eb="6">
      <t>ノ</t>
    </rPh>
    <rPh sb="7" eb="9">
      <t>リヨウ</t>
    </rPh>
    <rPh sb="9" eb="10">
      <t>コ</t>
    </rPh>
    <rPh sb="12" eb="13">
      <t>スウ</t>
    </rPh>
    <rPh sb="16" eb="18">
      <t>キュウジツ</t>
    </rPh>
    <rPh sb="18" eb="19">
      <t>トウ</t>
    </rPh>
    <rPh sb="20" eb="22">
      <t>トウガイ</t>
    </rPh>
    <rPh sb="22" eb="24">
      <t>キュウジツ</t>
    </rPh>
    <rPh sb="24" eb="26">
      <t>ホイク</t>
    </rPh>
    <rPh sb="26" eb="28">
      <t>タイショウ</t>
    </rPh>
    <rPh sb="28" eb="30">
      <t>シセツ</t>
    </rPh>
    <rPh sb="31" eb="33">
      <t>リヨウ</t>
    </rPh>
    <rPh sb="35" eb="37">
      <t>キュウジツ</t>
    </rPh>
    <rPh sb="37" eb="39">
      <t>ホイク</t>
    </rPh>
    <rPh sb="39" eb="41">
      <t>タイショウ</t>
    </rPh>
    <rPh sb="41" eb="43">
      <t>シセツ</t>
    </rPh>
    <rPh sb="43" eb="45">
      <t>イガイ</t>
    </rPh>
    <phoneticPr fontId="1"/>
  </si>
  <si>
    <t>※5　共同保育を実施する場合は、実施する各施設の休日延べ利用子ども数の見込み数を含めること</t>
    <rPh sb="3" eb="5">
      <t>キョウドウ</t>
    </rPh>
    <rPh sb="5" eb="7">
      <t>ホイク</t>
    </rPh>
    <rPh sb="8" eb="10">
      <t>ジッシ</t>
    </rPh>
    <rPh sb="12" eb="14">
      <t>バアイ</t>
    </rPh>
    <rPh sb="16" eb="18">
      <t>ジッシ</t>
    </rPh>
    <rPh sb="20" eb="23">
      <t>カクシセツ</t>
    </rPh>
    <rPh sb="24" eb="26">
      <t>キュウジツ</t>
    </rPh>
    <rPh sb="26" eb="27">
      <t>ノ</t>
    </rPh>
    <rPh sb="28" eb="30">
      <t>リヨウ</t>
    </rPh>
    <rPh sb="30" eb="31">
      <t>コ</t>
    </rPh>
    <rPh sb="33" eb="34">
      <t>スウ</t>
    </rPh>
    <rPh sb="35" eb="37">
      <t>ミコ</t>
    </rPh>
    <rPh sb="38" eb="39">
      <t>スウ</t>
    </rPh>
    <rPh sb="40" eb="41">
      <t>フク</t>
    </rPh>
    <phoneticPr fontId="1"/>
  </si>
  <si>
    <t>必要保育士数について</t>
    <rPh sb="0" eb="6">
      <t>ヒツヨウホイクシスウ</t>
    </rPh>
    <phoneticPr fontId="1"/>
  </si>
  <si>
    <t>常時2名以上を配置している</t>
    <rPh sb="0" eb="2">
      <t>ジョウジ</t>
    </rPh>
    <rPh sb="3" eb="6">
      <t>メイイジョウ</t>
    </rPh>
    <rPh sb="7" eb="9">
      <t>ハイチ</t>
    </rPh>
    <phoneticPr fontId="1"/>
  </si>
  <si>
    <t>内容</t>
    <rPh sb="0" eb="2">
      <t>ナイヨウ</t>
    </rPh>
    <phoneticPr fontId="1"/>
  </si>
  <si>
    <t>児童福祉施設設備運営基準第33条第２項及び附則第94条から第97条、児童福祉施設最低基準の一部を改正する省令附則第２条の規定を確認している</t>
    <phoneticPr fontId="1"/>
  </si>
  <si>
    <t>確認事項</t>
    <rPh sb="0" eb="4">
      <t>カクニンジコウ</t>
    </rPh>
    <phoneticPr fontId="1"/>
  </si>
  <si>
    <t>回答</t>
    <rPh sb="0" eb="2">
      <t>カイトウ</t>
    </rPh>
    <phoneticPr fontId="1"/>
  </si>
  <si>
    <t>敬老の日</t>
    <rPh sb="0" eb="2">
      <t>ケイロウ</t>
    </rPh>
    <rPh sb="3" eb="4">
      <t>ヒ</t>
    </rPh>
    <phoneticPr fontId="1"/>
  </si>
  <si>
    <t>回答</t>
    <rPh sb="0" eb="2">
      <t>カイトウ</t>
    </rPh>
    <phoneticPr fontId="1"/>
  </si>
  <si>
    <t>はい</t>
    <phoneticPr fontId="1"/>
  </si>
  <si>
    <t>いいえ</t>
    <phoneticPr fontId="1"/>
  </si>
  <si>
    <t>判定</t>
    <rPh sb="0" eb="2">
      <t>ハンテイ</t>
    </rPh>
    <phoneticPr fontId="1"/>
  </si>
  <si>
    <t>月当たりの超過勤務対応時間</t>
    <rPh sb="0" eb="2">
      <t>ツキア</t>
    </rPh>
    <rPh sb="5" eb="9">
      <t>チョウカキンム</t>
    </rPh>
    <rPh sb="9" eb="11">
      <t>タイオウ</t>
    </rPh>
    <rPh sb="11" eb="13">
      <t>ジカン</t>
    </rPh>
    <phoneticPr fontId="1"/>
  </si>
  <si>
    <t>【様式2】</t>
    <rPh sb="1" eb="3">
      <t>ヨウシキ</t>
    </rPh>
    <phoneticPr fontId="1"/>
  </si>
  <si>
    <t>時間/月</t>
    <rPh sb="0" eb="2">
      <t>ジカン</t>
    </rPh>
    <rPh sb="3" eb="4">
      <t>ツキ</t>
    </rPh>
    <phoneticPr fontId="1"/>
  </si>
  <si>
    <t>職員数（札幌市確認用）</t>
    <rPh sb="0" eb="3">
      <t>ショクインスウ</t>
    </rPh>
    <rPh sb="4" eb="10">
      <t>サッポロシカクニンヨウ</t>
    </rPh>
    <phoneticPr fontId="1"/>
  </si>
  <si>
    <t>常勤換算数</t>
    <rPh sb="0" eb="5">
      <t>ジョウキンカンサンスウ</t>
    </rPh>
    <phoneticPr fontId="1"/>
  </si>
  <si>
    <t>非常勤※</t>
    <rPh sb="0" eb="3">
      <t>ヒジョウキン</t>
    </rPh>
    <phoneticPr fontId="1"/>
  </si>
  <si>
    <t>計
（常勤＋非常勤）</t>
    <rPh sb="0" eb="1">
      <t>ケイ</t>
    </rPh>
    <rPh sb="3" eb="5">
      <t>ジョウキン</t>
    </rPh>
    <rPh sb="6" eb="9">
      <t>ヒジョウキン</t>
    </rPh>
    <phoneticPr fontId="1"/>
  </si>
  <si>
    <t>勤務時間</t>
    <rPh sb="0" eb="4">
      <t>キンムジカン</t>
    </rPh>
    <phoneticPr fontId="1"/>
  </si>
  <si>
    <t>施設長</t>
    <rPh sb="0" eb="3">
      <t>シセツチョウ</t>
    </rPh>
    <phoneticPr fontId="1"/>
  </si>
  <si>
    <t>事務員</t>
    <rPh sb="0" eb="3">
      <t>ジムイン</t>
    </rPh>
    <phoneticPr fontId="1"/>
  </si>
  <si>
    <t>※　非常勤に委託を含む。</t>
    <rPh sb="2" eb="5">
      <t>ヒジョウキン</t>
    </rPh>
    <rPh sb="6" eb="8">
      <t>イタク</t>
    </rPh>
    <rPh sb="9" eb="10">
      <t>フク</t>
    </rPh>
    <phoneticPr fontId="1"/>
  </si>
  <si>
    <t>通常教育</t>
    <rPh sb="0" eb="2">
      <t>ツウジョウ</t>
    </rPh>
    <rPh sb="2" eb="4">
      <t>キョウイク</t>
    </rPh>
    <phoneticPr fontId="1"/>
  </si>
  <si>
    <t>参入</t>
    <rPh sb="0" eb="2">
      <t>サンニュウ</t>
    </rPh>
    <phoneticPr fontId="1"/>
  </si>
  <si>
    <t>委託</t>
    <rPh sb="0" eb="2">
      <t>イタク</t>
    </rPh>
    <phoneticPr fontId="1"/>
  </si>
  <si>
    <t>職種区分</t>
    <rPh sb="0" eb="4">
      <t>ショクシュクブン</t>
    </rPh>
    <phoneticPr fontId="1"/>
  </si>
  <si>
    <t>初日時点の契約状況</t>
    <rPh sb="0" eb="4">
      <t>ショニチジテン</t>
    </rPh>
    <rPh sb="5" eb="9">
      <t>ケイヤクジョウキョウ</t>
    </rPh>
    <phoneticPr fontId="1"/>
  </si>
  <si>
    <t>雇用開始日</t>
    <rPh sb="0" eb="5">
      <t>コヨウカイシビ</t>
    </rPh>
    <phoneticPr fontId="1"/>
  </si>
  <si>
    <t>①　委託先</t>
    <rPh sb="2" eb="5">
      <t>イタクサキ</t>
    </rPh>
    <phoneticPr fontId="3"/>
  </si>
  <si>
    <t>③形態</t>
    <rPh sb="1" eb="3">
      <t>ケイタイ</t>
    </rPh>
    <phoneticPr fontId="3"/>
  </si>
  <si>
    <t>④契約開始日</t>
    <rPh sb="1" eb="3">
      <t>ケイヤク</t>
    </rPh>
    <rPh sb="3" eb="5">
      <t>カイシ</t>
    </rPh>
    <rPh sb="5" eb="6">
      <t>ビ</t>
    </rPh>
    <phoneticPr fontId="1"/>
  </si>
  <si>
    <t>算入区分</t>
    <rPh sb="0" eb="2">
      <t>サンニュウ</t>
    </rPh>
    <rPh sb="2" eb="4">
      <t>クブン</t>
    </rPh>
    <phoneticPr fontId="1"/>
  </si>
  <si>
    <t>委託先会社名</t>
    <rPh sb="0" eb="5">
      <t>イタクサキカイシャ</t>
    </rPh>
    <rPh sb="5" eb="6">
      <t>メイ</t>
    </rPh>
    <phoneticPr fontId="1"/>
  </si>
  <si>
    <t>初日時点の契約状況</t>
    <rPh sb="0" eb="2">
      <t>ショニチ</t>
    </rPh>
    <rPh sb="2" eb="4">
      <t>ジテン</t>
    </rPh>
    <rPh sb="5" eb="7">
      <t>ケイヤク</t>
    </rPh>
    <rPh sb="7" eb="9">
      <t>ジョウキョウ</t>
    </rPh>
    <phoneticPr fontId="1"/>
  </si>
  <si>
    <t>常勤-時短/兼務</t>
    <rPh sb="0" eb="2">
      <t>ジョウキン</t>
    </rPh>
    <rPh sb="3" eb="5">
      <t>ジタン</t>
    </rPh>
    <rPh sb="6" eb="8">
      <t>ケンム</t>
    </rPh>
    <phoneticPr fontId="1"/>
  </si>
  <si>
    <t>有給（他法活用）</t>
    <rPh sb="0" eb="2">
      <t>ユウキュウ</t>
    </rPh>
    <rPh sb="3" eb="7">
      <t>タホウカツヨウ</t>
    </rPh>
    <phoneticPr fontId="1"/>
  </si>
  <si>
    <t>雇用契約</t>
    <rPh sb="0" eb="2">
      <t>コヨウ</t>
    </rPh>
    <rPh sb="2" eb="4">
      <t>ケイヤク</t>
    </rPh>
    <phoneticPr fontId="1"/>
  </si>
  <si>
    <t>派遣契約</t>
    <rPh sb="0" eb="2">
      <t>ハケン</t>
    </rPh>
    <rPh sb="2" eb="4">
      <t>ケイヤク</t>
    </rPh>
    <phoneticPr fontId="1"/>
  </si>
  <si>
    <t>派遣契約</t>
    <rPh sb="0" eb="4">
      <t>ハケンケイヤク</t>
    </rPh>
    <phoneticPr fontId="1"/>
  </si>
  <si>
    <t>嘱託契約</t>
    <rPh sb="0" eb="4">
      <t>ショクタクケイヤク</t>
    </rPh>
    <phoneticPr fontId="1"/>
  </si>
  <si>
    <t>栄養士（委託）</t>
    <rPh sb="0" eb="3">
      <t>エイヨウシ</t>
    </rPh>
    <rPh sb="4" eb="6">
      <t>イタク</t>
    </rPh>
    <phoneticPr fontId="1"/>
  </si>
  <si>
    <t>調理員（委託）</t>
    <rPh sb="0" eb="3">
      <t>チョウリイン</t>
    </rPh>
    <rPh sb="4" eb="6">
      <t>イタク</t>
    </rPh>
    <phoneticPr fontId="1"/>
  </si>
  <si>
    <t>事務員（委託）</t>
    <rPh sb="0" eb="2">
      <t>ジム</t>
    </rPh>
    <rPh sb="2" eb="3">
      <t>イン</t>
    </rPh>
    <rPh sb="4" eb="6">
      <t>イタク</t>
    </rPh>
    <phoneticPr fontId="1"/>
  </si>
  <si>
    <t>その他（委託）</t>
    <rPh sb="2" eb="3">
      <t>タ</t>
    </rPh>
    <rPh sb="4" eb="6">
      <t>イタク</t>
    </rPh>
    <phoneticPr fontId="1"/>
  </si>
  <si>
    <t>●　雇用職員</t>
    <rPh sb="2" eb="4">
      <t>コヨウ</t>
    </rPh>
    <rPh sb="4" eb="6">
      <t>ショクイン</t>
    </rPh>
    <phoneticPr fontId="1"/>
  </si>
  <si>
    <t>④雇用開始日</t>
    <rPh sb="3" eb="5">
      <t>カイシ</t>
    </rPh>
    <rPh sb="5" eb="6">
      <t>ビ</t>
    </rPh>
    <phoneticPr fontId="1"/>
  </si>
  <si>
    <t>契約形態</t>
    <rPh sb="0" eb="2">
      <t>ケイヤク</t>
    </rPh>
    <rPh sb="2" eb="4">
      <t>ケイタイ</t>
    </rPh>
    <phoneticPr fontId="1"/>
  </si>
  <si>
    <t>非常勤下限設定</t>
    <rPh sb="0" eb="3">
      <t>ヒジョウキン</t>
    </rPh>
    <rPh sb="3" eb="7">
      <t>カゲンセッテイ</t>
    </rPh>
    <phoneticPr fontId="1"/>
  </si>
  <si>
    <t>就業規則に定める時間</t>
    <rPh sb="0" eb="2">
      <t>シュウギョウ</t>
    </rPh>
    <rPh sb="2" eb="4">
      <t>キソク</t>
    </rPh>
    <rPh sb="5" eb="6">
      <t>サダ</t>
    </rPh>
    <rPh sb="8" eb="10">
      <t>ジカン</t>
    </rPh>
    <phoneticPr fontId="1"/>
  </si>
  <si>
    <t>職種</t>
    <rPh sb="0" eb="2">
      <t>ショクシュ</t>
    </rPh>
    <phoneticPr fontId="1"/>
  </si>
  <si>
    <t>様式2</t>
    <rPh sb="0" eb="2">
      <t>ヨウシキ</t>
    </rPh>
    <phoneticPr fontId="1"/>
  </si>
  <si>
    <t>全員</t>
    <rPh sb="0" eb="2">
      <t>ゼンイン</t>
    </rPh>
    <phoneticPr fontId="1"/>
  </si>
  <si>
    <t>業務委託</t>
    <rPh sb="0" eb="4">
      <t>ギョウムイタク</t>
    </rPh>
    <phoneticPr fontId="1"/>
  </si>
  <si>
    <t>名前登録～上端行で登録↓</t>
    <rPh sb="0" eb="2">
      <t>ナマエ</t>
    </rPh>
    <rPh sb="2" eb="4">
      <t>トウロク</t>
    </rPh>
    <rPh sb="5" eb="7">
      <t>ジョウタン</t>
    </rPh>
    <rPh sb="7" eb="8">
      <t>ギョウ</t>
    </rPh>
    <rPh sb="9" eb="11">
      <t>トウロク</t>
    </rPh>
    <phoneticPr fontId="1"/>
  </si>
  <si>
    <r>
      <rPr>
        <b/>
        <sz val="10"/>
        <color rgb="FFFF0000"/>
        <rFont val="ＭＳ 明朝"/>
        <family val="1"/>
        <charset val="128"/>
      </rPr>
      <t>「月初日(1日時点)」</t>
    </r>
    <r>
      <rPr>
        <sz val="10"/>
        <color theme="1"/>
        <rFont val="ＭＳ 明朝"/>
        <family val="1"/>
        <charset val="128"/>
      </rPr>
      <t>かつ</t>
    </r>
    <r>
      <rPr>
        <b/>
        <sz val="10"/>
        <color rgb="FFFF0000"/>
        <rFont val="ＭＳ 明朝"/>
        <family val="1"/>
        <charset val="128"/>
      </rPr>
      <t>「クラス年齢」</t>
    </r>
    <r>
      <rPr>
        <sz val="10"/>
        <color theme="1"/>
        <rFont val="ＭＳ 明朝"/>
        <family val="1"/>
        <charset val="128"/>
      </rPr>
      <t>の児童数を下記に入力すること。</t>
    </r>
    <rPh sb="1" eb="2">
      <t>ツキ</t>
    </rPh>
    <rPh sb="2" eb="4">
      <t>ショニチ</t>
    </rPh>
    <rPh sb="6" eb="7">
      <t>ニチ</t>
    </rPh>
    <rPh sb="7" eb="9">
      <t>ジテン</t>
    </rPh>
    <rPh sb="17" eb="19">
      <t>ネンレイ</t>
    </rPh>
    <rPh sb="21" eb="23">
      <t>ジドウ</t>
    </rPh>
    <rPh sb="23" eb="24">
      <t>スウ</t>
    </rPh>
    <rPh sb="25" eb="27">
      <t>カキ</t>
    </rPh>
    <rPh sb="28" eb="30">
      <t>ニュウリョク</t>
    </rPh>
    <phoneticPr fontId="1"/>
  </si>
  <si>
    <t>常勤・非常勤</t>
    <rPh sb="3" eb="6">
      <t>ヒジョウキン</t>
    </rPh>
    <phoneticPr fontId="1"/>
  </si>
  <si>
    <t>入力</t>
    <rPh sb="0" eb="2">
      <t>ニュウリョク</t>
    </rPh>
    <phoneticPr fontId="1"/>
  </si>
  <si>
    <t>個票</t>
    <rPh sb="0" eb="2">
      <t>コヒョウ</t>
    </rPh>
    <phoneticPr fontId="1"/>
  </si>
  <si>
    <t>時間数</t>
    <rPh sb="0" eb="3">
      <t>ジカンスウ</t>
    </rPh>
    <phoneticPr fontId="1"/>
  </si>
  <si>
    <t>調整</t>
    <rPh sb="0" eb="2">
      <t>チョウセイ</t>
    </rPh>
    <phoneticPr fontId="1"/>
  </si>
  <si>
    <t>重複</t>
    <rPh sb="0" eb="2">
      <t>チョウフク</t>
    </rPh>
    <phoneticPr fontId="1"/>
  </si>
  <si>
    <t>加算・減算等</t>
    <rPh sb="0" eb="2">
      <t>カサン</t>
    </rPh>
    <rPh sb="3" eb="6">
      <t>ゲンサントウ</t>
    </rPh>
    <phoneticPr fontId="1"/>
  </si>
  <si>
    <t>常勤換算数【人/月】</t>
    <rPh sb="0" eb="5">
      <t>ジョウキンカンサンスウ</t>
    </rPh>
    <rPh sb="5" eb="10">
      <t>「ニン／ツキ」</t>
    </rPh>
    <phoneticPr fontId="1"/>
  </si>
  <si>
    <t>条件</t>
    <rPh sb="0" eb="2">
      <t>ジョウケン</t>
    </rPh>
    <phoneticPr fontId="1"/>
  </si>
  <si>
    <t>人/月</t>
    <rPh sb="0" eb="1">
      <t>ニン</t>
    </rPh>
    <rPh sb="2" eb="3">
      <t>ツキ</t>
    </rPh>
    <phoneticPr fontId="1"/>
  </si>
  <si>
    <t>基本配置</t>
    <rPh sb="0" eb="4">
      <t>キホンハイチ</t>
    </rPh>
    <phoneticPr fontId="1"/>
  </si>
  <si>
    <t>療育支援加算</t>
    <rPh sb="0" eb="6">
      <t>リョウイクシエンカサン</t>
    </rPh>
    <phoneticPr fontId="1"/>
  </si>
  <si>
    <t>その他
補助金名等を記載すること➡</t>
    <rPh sb="2" eb="3">
      <t>タ</t>
    </rPh>
    <rPh sb="5" eb="10">
      <t>ホジョキンメイトウ</t>
    </rPh>
    <rPh sb="11" eb="13">
      <t>キサイ</t>
    </rPh>
    <phoneticPr fontId="1"/>
  </si>
  <si>
    <t>(うち委託分)</t>
    <rPh sb="3" eb="5">
      <t>イタク</t>
    </rPh>
    <rPh sb="5" eb="6">
      <t>ブン</t>
    </rPh>
    <phoneticPr fontId="1"/>
  </si>
  <si>
    <t>３　配置数</t>
    <rPh sb="2" eb="4">
      <t>ハイチ</t>
    </rPh>
    <rPh sb="4" eb="5">
      <t>スウ</t>
    </rPh>
    <phoneticPr fontId="1"/>
  </si>
  <si>
    <t>【人/月】</t>
    <rPh sb="0" eb="5">
      <t>「ニン／ツキ」</t>
    </rPh>
    <phoneticPr fontId="1"/>
  </si>
  <si>
    <t>公定価格</t>
    <rPh sb="0" eb="4">
      <t>コウテイカカク</t>
    </rPh>
    <phoneticPr fontId="1"/>
  </si>
  <si>
    <t>様式2より…A</t>
    <rPh sb="0" eb="2">
      <t>ヨウシキ</t>
    </rPh>
    <phoneticPr fontId="1"/>
  </si>
  <si>
    <t>調整…Ｂ</t>
    <rPh sb="0" eb="2">
      <t>チョウセイ</t>
    </rPh>
    <phoneticPr fontId="1"/>
  </si>
  <si>
    <t>実配置数…A-B+C(※)</t>
    <rPh sb="0" eb="1">
      <t>ジツ</t>
    </rPh>
    <rPh sb="1" eb="4">
      <t>ハイチスウ</t>
    </rPh>
    <phoneticPr fontId="1"/>
  </si>
  <si>
    <t>補助金担当</t>
    <rPh sb="0" eb="3">
      <t>ホジョキン</t>
    </rPh>
    <rPh sb="3" eb="5">
      <t>タントウ</t>
    </rPh>
    <phoneticPr fontId="1"/>
  </si>
  <si>
    <t>他職種への流用…C</t>
    <rPh sb="0" eb="1">
      <t>ホカ</t>
    </rPh>
    <rPh sb="1" eb="3">
      <t>ショクシュ</t>
    </rPh>
    <rPh sb="5" eb="7">
      <t>リュウヨウ</t>
    </rPh>
    <phoneticPr fontId="1"/>
  </si>
  <si>
    <t>必要数</t>
    <rPh sb="0" eb="3">
      <t>ヒツヨウスウ</t>
    </rPh>
    <phoneticPr fontId="1"/>
  </si>
  <si>
    <t>配置数</t>
    <rPh sb="0" eb="2">
      <t>ハイチ</t>
    </rPh>
    <rPh sb="2" eb="3">
      <t>スウ</t>
    </rPh>
    <phoneticPr fontId="1"/>
  </si>
  <si>
    <t>配置数　－　必要数</t>
    <rPh sb="0" eb="3">
      <t>ハイチスウ</t>
    </rPh>
    <rPh sb="6" eb="9">
      <t>ヒツヨウスウ</t>
    </rPh>
    <phoneticPr fontId="1"/>
  </si>
  <si>
    <t>計算過程</t>
    <rPh sb="0" eb="4">
      <t>ケイサンカテイ</t>
    </rPh>
    <phoneticPr fontId="1"/>
  </si>
  <si>
    <t>小計</t>
    <rPh sb="0" eb="2">
      <t>ショウケイ</t>
    </rPh>
    <phoneticPr fontId="1"/>
  </si>
  <si>
    <t>施設長（基本配置）</t>
    <rPh sb="0" eb="3">
      <t>シセツチョウ</t>
    </rPh>
    <rPh sb="4" eb="8">
      <t>キホンハイチ</t>
    </rPh>
    <phoneticPr fontId="1"/>
  </si>
  <si>
    <t>小数第二位以下切捨</t>
    <rPh sb="4" eb="5">
      <t>イ</t>
    </rPh>
    <phoneticPr fontId="1"/>
  </si>
  <si>
    <t>足して小数第一位四捨五入</t>
    <rPh sb="0" eb="1">
      <t>タ</t>
    </rPh>
    <rPh sb="6" eb="7">
      <t>１</t>
    </rPh>
    <rPh sb="7" eb="8">
      <t>イ</t>
    </rPh>
    <rPh sb="8" eb="12">
      <t>シシャゴニュウ</t>
    </rPh>
    <phoneticPr fontId="1"/>
  </si>
  <si>
    <t>栄養管理加算</t>
    <rPh sb="0" eb="6">
      <t>エイヨウカンリカサン</t>
    </rPh>
    <phoneticPr fontId="1"/>
  </si>
  <si>
    <t>事務（基本配置）</t>
    <rPh sb="0" eb="2">
      <t>ジム</t>
    </rPh>
    <rPh sb="3" eb="7">
      <t>キホンハイチ</t>
    </rPh>
    <phoneticPr fontId="1"/>
  </si>
  <si>
    <t>①　登記の写し(建物が自己所有であることがわかるもの)</t>
    <phoneticPr fontId="1"/>
  </si>
  <si>
    <t>②　契約書等の写し(建物の整備、改修または取得する際に費用が発生していることがわかるもの)</t>
    <rPh sb="2" eb="5">
      <t>ケイヤクショ</t>
    </rPh>
    <rPh sb="5" eb="6">
      <t>トウ</t>
    </rPh>
    <rPh sb="7" eb="8">
      <t>ウツ</t>
    </rPh>
    <rPh sb="10" eb="12">
      <t>タテモノ</t>
    </rPh>
    <rPh sb="13" eb="15">
      <t>セイビ</t>
    </rPh>
    <rPh sb="16" eb="18">
      <t>カイシュウ</t>
    </rPh>
    <rPh sb="21" eb="23">
      <t>シュトク</t>
    </rPh>
    <rPh sb="25" eb="26">
      <t>サイ</t>
    </rPh>
    <rPh sb="27" eb="29">
      <t>ヒヨウ</t>
    </rPh>
    <rPh sb="30" eb="32">
      <t>ハッセイ</t>
    </rPh>
    <phoneticPr fontId="1"/>
  </si>
  <si>
    <t>　賃貸借契約書の写し(年度を通じて賃借料が発生し、第三者と賃貸契約を結んでいることがわかるもの)</t>
    <rPh sb="1" eb="4">
      <t>チンタイシャク</t>
    </rPh>
    <rPh sb="4" eb="7">
      <t>ケイヤクショ</t>
    </rPh>
    <rPh sb="8" eb="9">
      <t>ウツ</t>
    </rPh>
    <rPh sb="11" eb="13">
      <t>ネンド</t>
    </rPh>
    <rPh sb="14" eb="15">
      <t>ツウ</t>
    </rPh>
    <rPh sb="17" eb="20">
      <t>チンシャクリョウ</t>
    </rPh>
    <rPh sb="21" eb="23">
      <t>ハッセイ</t>
    </rPh>
    <rPh sb="25" eb="28">
      <t>ダイサンシャ</t>
    </rPh>
    <rPh sb="29" eb="31">
      <t>チンタイ</t>
    </rPh>
    <rPh sb="31" eb="33">
      <t>ケイヤク</t>
    </rPh>
    <rPh sb="34" eb="35">
      <t>ムス</t>
    </rPh>
    <phoneticPr fontId="1"/>
  </si>
  <si>
    <t>※1　利用児童について、延長保育、一時保育を含めないこと。</t>
    <rPh sb="3" eb="5">
      <t>リヨウ</t>
    </rPh>
    <rPh sb="5" eb="7">
      <t>ジドウ</t>
    </rPh>
    <rPh sb="12" eb="14">
      <t>エンチョウ</t>
    </rPh>
    <rPh sb="14" eb="16">
      <t>ホイク</t>
    </rPh>
    <rPh sb="17" eb="19">
      <t>イチジ</t>
    </rPh>
    <rPh sb="19" eb="21">
      <t>ホイク</t>
    </rPh>
    <rPh sb="22" eb="23">
      <t>フク</t>
    </rPh>
    <phoneticPr fontId="1"/>
  </si>
  <si>
    <t>※4　年末年始の閉園日（12/29～31、1/2～3）に土曜日が含まれる場合は祝日扱いとします。</t>
    <rPh sb="3" eb="7">
      <t>ネンマツネンシ</t>
    </rPh>
    <rPh sb="8" eb="11">
      <t>ヘイエンビ</t>
    </rPh>
    <rPh sb="28" eb="31">
      <t>ドヨウビ</t>
    </rPh>
    <rPh sb="32" eb="33">
      <t>フク</t>
    </rPh>
    <rPh sb="36" eb="38">
      <t>バアイ</t>
    </rPh>
    <rPh sb="39" eb="42">
      <t>シュクジツアツカ</t>
    </rPh>
    <phoneticPr fontId="1"/>
  </si>
  <si>
    <t>※3　利用児童数(実績)について、当日キャンセルの児童は含めて良い(前日キャンセルは不可)。なお、運動会等による行事開催が当日キャンセルになった場合も保護者の希望があれば保育を実施する必要があることに留意すること。</t>
    <rPh sb="3" eb="5">
      <t>リヨウ</t>
    </rPh>
    <rPh sb="5" eb="7">
      <t>ジドウ</t>
    </rPh>
    <rPh sb="7" eb="8">
      <t>スウ</t>
    </rPh>
    <rPh sb="9" eb="11">
      <t>ジッセキ</t>
    </rPh>
    <rPh sb="17" eb="19">
      <t>トウジツ</t>
    </rPh>
    <rPh sb="25" eb="27">
      <t>ジドウ</t>
    </rPh>
    <rPh sb="28" eb="29">
      <t>フク</t>
    </rPh>
    <rPh sb="31" eb="32">
      <t>ヨ</t>
    </rPh>
    <rPh sb="34" eb="36">
      <t>ゼンジツ</t>
    </rPh>
    <rPh sb="42" eb="44">
      <t>フカ</t>
    </rPh>
    <rPh sb="61" eb="63">
      <t>トウジツ</t>
    </rPh>
    <rPh sb="100" eb="102">
      <t>リュウイ</t>
    </rPh>
    <phoneticPr fontId="1"/>
  </si>
  <si>
    <t>申出者</t>
    <rPh sb="0" eb="2">
      <t>モウシデ</t>
    </rPh>
    <rPh sb="2" eb="3">
      <t>ャ</t>
    </rPh>
    <phoneticPr fontId="1"/>
  </si>
  <si>
    <t>法人名</t>
    <rPh sb="0" eb="3">
      <t>ホウジンメイ</t>
    </rPh>
    <phoneticPr fontId="1"/>
  </si>
  <si>
    <t>代表者</t>
    <rPh sb="0" eb="3">
      <t>ダイヒョウシャ</t>
    </rPh>
    <phoneticPr fontId="1"/>
  </si>
  <si>
    <t>記</t>
    <rPh sb="0" eb="1">
      <t>キ</t>
    </rPh>
    <phoneticPr fontId="1"/>
  </si>
  <si>
    <t>１　施設名</t>
    <rPh sb="2" eb="5">
      <t>シセツメイ</t>
    </rPh>
    <phoneticPr fontId="1"/>
  </si>
  <si>
    <t>(1) 定員</t>
    <rPh sb="4" eb="6">
      <t>テイイン</t>
    </rPh>
    <phoneticPr fontId="1"/>
  </si>
  <si>
    <t>(2) 利用初日児童数（予定）</t>
    <rPh sb="4" eb="6">
      <t>リヨウ</t>
    </rPh>
    <rPh sb="6" eb="8">
      <t>ショニチ</t>
    </rPh>
    <rPh sb="8" eb="10">
      <t>ジドウ</t>
    </rPh>
    <rPh sb="10" eb="11">
      <t>スウ</t>
    </rPh>
    <rPh sb="12" eb="14">
      <t>ヨテイ</t>
    </rPh>
    <phoneticPr fontId="1"/>
  </si>
  <si>
    <t>定員</t>
    <rPh sb="0" eb="2">
      <t>テイイン</t>
    </rPh>
    <phoneticPr fontId="1"/>
  </si>
  <si>
    <t>利用児童数</t>
    <rPh sb="0" eb="5">
      <t>リヨウジドウスウ</t>
    </rPh>
    <phoneticPr fontId="1"/>
  </si>
  <si>
    <t>超過</t>
    <rPh sb="0" eb="2">
      <t>チョウカ</t>
    </rPh>
    <phoneticPr fontId="1"/>
  </si>
  <si>
    <t>平均在所率</t>
    <rPh sb="0" eb="5">
      <t>ヘイキンザイショリツ</t>
    </rPh>
    <phoneticPr fontId="1"/>
  </si>
  <si>
    <t>別紙６‐２（「減算：定員を恒常的に超過する場合」の添付書類）</t>
    <rPh sb="0" eb="2">
      <t>ベッシ</t>
    </rPh>
    <rPh sb="7" eb="9">
      <t>ゲンサン</t>
    </rPh>
    <rPh sb="10" eb="12">
      <t>テイイン</t>
    </rPh>
    <rPh sb="13" eb="16">
      <t>コウジョウテキ</t>
    </rPh>
    <rPh sb="17" eb="19">
      <t>チョウカ</t>
    </rPh>
    <rPh sb="21" eb="23">
      <t>バアイ</t>
    </rPh>
    <rPh sb="25" eb="27">
      <t>テンプ</t>
    </rPh>
    <rPh sb="27" eb="29">
      <t>ショルイ</t>
    </rPh>
    <phoneticPr fontId="1"/>
  </si>
  <si>
    <t>(2) 利用初日児童数(実績)</t>
    <rPh sb="4" eb="6">
      <t>リヨウ</t>
    </rPh>
    <rPh sb="6" eb="8">
      <t>ショニチ</t>
    </rPh>
    <rPh sb="8" eb="10">
      <t>ジドウ</t>
    </rPh>
    <rPh sb="10" eb="11">
      <t>スウ</t>
    </rPh>
    <rPh sb="12" eb="14">
      <t>ジッセキ</t>
    </rPh>
    <phoneticPr fontId="1"/>
  </si>
  <si>
    <t>　下記のとおりの実績となっております。</t>
    <rPh sb="1" eb="3">
      <t>カキ</t>
    </rPh>
    <rPh sb="8" eb="10">
      <t>ジッセキ</t>
    </rPh>
    <phoneticPr fontId="1"/>
  </si>
  <si>
    <t>協議年月日</t>
    <rPh sb="0" eb="2">
      <t>キョウギ</t>
    </rPh>
    <rPh sb="2" eb="3">
      <t>ネン</t>
    </rPh>
    <rPh sb="3" eb="4">
      <t>ツキ</t>
    </rPh>
    <rPh sb="4" eb="5">
      <t>ニチ</t>
    </rPh>
    <phoneticPr fontId="1"/>
  </si>
  <si>
    <t>日</t>
    <rPh sb="0" eb="1">
      <t>ニチ</t>
    </rPh>
    <phoneticPr fontId="1"/>
  </si>
  <si>
    <t>見直し内容</t>
    <rPh sb="0" eb="2">
      <t>ミナオ</t>
    </rPh>
    <rPh sb="3" eb="5">
      <t>ナイヨウ</t>
    </rPh>
    <phoneticPr fontId="1"/>
  </si>
  <si>
    <t>定員見直し</t>
    <rPh sb="0" eb="4">
      <t>テイインミナオ</t>
    </rPh>
    <phoneticPr fontId="1"/>
  </si>
  <si>
    <t>協議先</t>
    <rPh sb="0" eb="3">
      <t>キョウギサキ</t>
    </rPh>
    <phoneticPr fontId="1"/>
  </si>
  <si>
    <t>①　別紙6－1（減算解除開始月の加算調整項目申請書提出時に提出すること）</t>
    <rPh sb="2" eb="4">
      <t>ベッシ</t>
    </rPh>
    <rPh sb="8" eb="15">
      <t>ゲンサンカイジョカイシツキ</t>
    </rPh>
    <rPh sb="16" eb="22">
      <t>カサンチョウセイコウモク</t>
    </rPh>
    <rPh sb="22" eb="25">
      <t>シンセイショ</t>
    </rPh>
    <rPh sb="25" eb="28">
      <t>テイシュツジ</t>
    </rPh>
    <rPh sb="29" eb="31">
      <t>テイシュツ</t>
    </rPh>
    <phoneticPr fontId="1"/>
  </si>
  <si>
    <t>②　別紙6－2（3月の加算調整項目申請書提出時に提出すること）</t>
    <rPh sb="9" eb="10">
      <t>ガツ</t>
    </rPh>
    <rPh sb="11" eb="20">
      <t>カサンチョウセイコウモクシンセイショ</t>
    </rPh>
    <rPh sb="20" eb="23">
      <t>テイシュツジ</t>
    </rPh>
    <rPh sb="24" eb="26">
      <t>テイシュツ</t>
    </rPh>
    <phoneticPr fontId="1"/>
  </si>
  <si>
    <t>定員超過①</t>
    <rPh sb="0" eb="2">
      <t>テイイン</t>
    </rPh>
    <rPh sb="2" eb="4">
      <t>チョウカ</t>
    </rPh>
    <phoneticPr fontId="1"/>
  </si>
  <si>
    <t>定員超過②</t>
    <rPh sb="0" eb="4">
      <t>テイインチョウカ</t>
    </rPh>
    <phoneticPr fontId="1"/>
  </si>
  <si>
    <t>受入人数見直し</t>
    <rPh sb="0" eb="2">
      <t>ウケイ</t>
    </rPh>
    <rPh sb="2" eb="4">
      <t>ニンズウ</t>
    </rPh>
    <rPh sb="4" eb="6">
      <t>ミナオ</t>
    </rPh>
    <phoneticPr fontId="1"/>
  </si>
  <si>
    <t>２・３号利用定員の恒常的な超過の解消に関する実績報告書</t>
    <rPh sb="22" eb="27">
      <t>ジッセキホウコクショ</t>
    </rPh>
    <phoneticPr fontId="1"/>
  </si>
  <si>
    <t>２・３号利用定員の恒常的な超過の解消に関する申出書</t>
    <phoneticPr fontId="1"/>
  </si>
  <si>
    <t>　一時保育事業（一般型）
（子ども・子育て支援交付金に係る要件に適合しており、かつ、月の平均対象子どもが１人以上いるもの（年度当初から事業を開始する場合は５月において当該要件を満たしていることをもって４月から当該要件を満たしているものと取り扱う。）。※１）</t>
    <rPh sb="3" eb="5">
      <t>ホイク</t>
    </rPh>
    <phoneticPr fontId="1"/>
  </si>
  <si>
    <t>③　以下の(1)～(5)のいずれかが施設で実施されていることが分かる書面又はホームページの写し。園の掲示物の場合は掲示状況等がわかる説明文書及び写真を添付すること。
(1)　子育てサロン、子育て広場等の交流の場の提供
  年度内に実施が予定されている場合は、年度当初から実施されているものとみなす
(2)　子育て等に関する相談・援助
　園外の児童等も受け付けていることが明示されていること。また、加算対象月初日から受付けていることが明示されていること
(3)　地域の子育て関連情報の提供
　園内及び園外向けの季刊誌等の発行を想定し、年に複数回発行を予定している場合は、年度当初から実施されているものとみなす。なお、園内向けの園だより等は不可
(4)　子育て及び子育て支援に関する講習等
　年度内に実施が予定されている場合は、年度当初から実施されているものとみなす
(5)　その他地域子育て支援活動と認められるもの
　事前に個別相談し認められた事業等。</t>
    <phoneticPr fontId="1"/>
  </si>
  <si>
    <t>①　障がい児の挙証書類1点（障害者手帳（療育支援手帳を含む）、医師の診断書、札幌市障がい児保育認定通知、通所支援受給者証）。なお、該当児童1名分とし、全員分は不要</t>
    <rPh sb="2" eb="3">
      <t>ショウ</t>
    </rPh>
    <rPh sb="5" eb="6">
      <t>ジ</t>
    </rPh>
    <rPh sb="7" eb="9">
      <t>キョショウ</t>
    </rPh>
    <rPh sb="9" eb="11">
      <t>ショルイ</t>
    </rPh>
    <rPh sb="12" eb="13">
      <t>テン</t>
    </rPh>
    <rPh sb="14" eb="17">
      <t>ショウガイシャ</t>
    </rPh>
    <rPh sb="17" eb="19">
      <t>テチョウ</t>
    </rPh>
    <rPh sb="20" eb="22">
      <t>リョウイク</t>
    </rPh>
    <rPh sb="22" eb="24">
      <t>シエン</t>
    </rPh>
    <rPh sb="24" eb="26">
      <t>テチョウ</t>
    </rPh>
    <rPh sb="27" eb="28">
      <t>フク</t>
    </rPh>
    <rPh sb="31" eb="33">
      <t>イシ</t>
    </rPh>
    <rPh sb="34" eb="37">
      <t>シンダンショ</t>
    </rPh>
    <rPh sb="38" eb="41">
      <t>サッポロシ</t>
    </rPh>
    <rPh sb="41" eb="42">
      <t>ショウ</t>
    </rPh>
    <rPh sb="44" eb="45">
      <t>ジ</t>
    </rPh>
    <rPh sb="45" eb="47">
      <t>ホイク</t>
    </rPh>
    <rPh sb="47" eb="49">
      <t>ニンテイ</t>
    </rPh>
    <rPh sb="49" eb="51">
      <t>ツウチ</t>
    </rPh>
    <rPh sb="52" eb="54">
      <t>ツウショ</t>
    </rPh>
    <rPh sb="54" eb="56">
      <t>シエン</t>
    </rPh>
    <rPh sb="56" eb="59">
      <t>ジュキュウシャ</t>
    </rPh>
    <rPh sb="59" eb="60">
      <t>ショウ</t>
    </rPh>
    <phoneticPr fontId="1"/>
  </si>
  <si>
    <t>②　事業要件のうち⑤に該当する場合、障がい児の挙証書類1点（障害者手帳（療育支援手帳を含む）、医師の診断書、札幌市障がい児保育認定通知、通所支援受給者証）。なお、該当児童1名分とし、全員分は不要。</t>
    <rPh sb="2" eb="4">
      <t>ジギョウ</t>
    </rPh>
    <rPh sb="4" eb="6">
      <t>ヨウケン</t>
    </rPh>
    <rPh sb="11" eb="13">
      <t>ガイトウ</t>
    </rPh>
    <rPh sb="15" eb="17">
      <t>バアイ</t>
    </rPh>
    <rPh sb="18" eb="19">
      <t>ショウ</t>
    </rPh>
    <rPh sb="21" eb="22">
      <t>ジ</t>
    </rPh>
    <rPh sb="23" eb="25">
      <t>キョショウ</t>
    </rPh>
    <rPh sb="25" eb="27">
      <t>ショルイ</t>
    </rPh>
    <rPh sb="28" eb="29">
      <t>テン</t>
    </rPh>
    <rPh sb="47" eb="49">
      <t>イシ</t>
    </rPh>
    <rPh sb="50" eb="53">
      <t>シンダンショ</t>
    </rPh>
    <rPh sb="54" eb="57">
      <t>サッポロシ</t>
    </rPh>
    <rPh sb="57" eb="58">
      <t>ショウ</t>
    </rPh>
    <rPh sb="60" eb="61">
      <t>ジ</t>
    </rPh>
    <rPh sb="61" eb="63">
      <t>ホイク</t>
    </rPh>
    <rPh sb="63" eb="65">
      <t>ニンテイ</t>
    </rPh>
    <rPh sb="65" eb="67">
      <t>ツウチ</t>
    </rPh>
    <rPh sb="68" eb="70">
      <t>ツウショ</t>
    </rPh>
    <rPh sb="70" eb="72">
      <t>シエン</t>
    </rPh>
    <rPh sb="72" eb="75">
      <t>ジュキュウシャ</t>
    </rPh>
    <rPh sb="75" eb="76">
      <t>ショウ</t>
    </rPh>
    <phoneticPr fontId="1"/>
  </si>
  <si>
    <t>③　以下いずれかの取り組みがわかる書類
・献立への助言（文責が栄養士であるとわかるもの。作成した献立の月から年度を通じて加算適用）
・アレルギー、アトピーへの助言（栄養士が行った面談記録票。面談を実施した月から年度を通じて加算適用。）
・食育計画書に基づいた継続的な指導（文責が栄養士である食育計画書。年度を通して作成された計画書がある場合は、年度を通じて加算を適用。）
・食育だよりは不可。</t>
    <phoneticPr fontId="1"/>
  </si>
  <si>
    <t>カウント</t>
    <phoneticPr fontId="1"/>
  </si>
  <si>
    <t>【時間】</t>
    <rPh sb="1" eb="3">
      <t>ジカン</t>
    </rPh>
    <phoneticPr fontId="1"/>
  </si>
  <si>
    <t>土・祝・休日</t>
    <rPh sb="0" eb="1">
      <t>ド</t>
    </rPh>
    <rPh sb="2" eb="3">
      <t>シュク</t>
    </rPh>
    <rPh sb="4" eb="6">
      <t>キュウジツ</t>
    </rPh>
    <phoneticPr fontId="1"/>
  </si>
  <si>
    <t>名簿有無</t>
    <rPh sb="0" eb="2">
      <t>メイボ</t>
    </rPh>
    <rPh sb="2" eb="4">
      <t>ウム</t>
    </rPh>
    <phoneticPr fontId="1"/>
  </si>
  <si>
    <t>判定（取得数）</t>
    <rPh sb="0" eb="2">
      <t>ハンテイ</t>
    </rPh>
    <rPh sb="3" eb="5">
      <t>シュトク</t>
    </rPh>
    <rPh sb="5" eb="6">
      <t>スウ</t>
    </rPh>
    <phoneticPr fontId="1"/>
  </si>
  <si>
    <t>エラー確認</t>
    <rPh sb="3" eb="5">
      <t>カクニン</t>
    </rPh>
    <phoneticPr fontId="1"/>
  </si>
  <si>
    <t>申請状況</t>
    <rPh sb="0" eb="4">
      <t>シンセイジョウキョウ</t>
    </rPh>
    <phoneticPr fontId="1"/>
  </si>
  <si>
    <t>担当者名</t>
    <rPh sb="0" eb="4">
      <t>タントウシャメイ</t>
    </rPh>
    <phoneticPr fontId="1"/>
  </si>
  <si>
    <t>-</t>
    <phoneticPr fontId="1"/>
  </si>
  <si>
    <t>-</t>
  </si>
  <si>
    <t>合計(参考)</t>
    <rPh sb="0" eb="2">
      <t>ゴウケイ</t>
    </rPh>
    <rPh sb="3" eb="5">
      <t>サンコウ</t>
    </rPh>
    <phoneticPr fontId="1"/>
  </si>
  <si>
    <t>業務委託</t>
  </si>
  <si>
    <t>常勤職員１人の勤務時間数/月</t>
    <phoneticPr fontId="1"/>
  </si>
  <si>
    <t>No.</t>
    <phoneticPr fontId="1"/>
  </si>
  <si>
    <t>-</t>
    <phoneticPr fontId="1"/>
  </si>
  <si>
    <t>勤務時間/月</t>
    <phoneticPr fontId="1"/>
  </si>
  <si>
    <t>提出日</t>
    <phoneticPr fontId="3"/>
  </si>
  <si>
    <t>⇒</t>
    <phoneticPr fontId="3"/>
  </si>
  <si>
    <t>○</t>
    <phoneticPr fontId="3"/>
  </si>
  <si>
    <t>No.</t>
    <phoneticPr fontId="3"/>
  </si>
  <si>
    <r>
      <t>リスト登録</t>
    </r>
    <r>
      <rPr>
        <sz val="10"/>
        <color theme="1"/>
        <rFont val="ＭＳ 明朝"/>
        <family val="1"/>
        <charset val="128"/>
      </rPr>
      <t>(数式＞定義された名前＞選択範囲から作成＞上端　で二重線囲部分を名前登録する➡ドロップダウンの範囲登録に使用)</t>
    </r>
    <rPh sb="3" eb="5">
      <t>トウロク</t>
    </rPh>
    <rPh sb="6" eb="8">
      <t>スウシキ</t>
    </rPh>
    <rPh sb="9" eb="11">
      <t>テイギ</t>
    </rPh>
    <rPh sb="14" eb="16">
      <t>ナマエ</t>
    </rPh>
    <rPh sb="17" eb="19">
      <t>センタク</t>
    </rPh>
    <rPh sb="19" eb="21">
      <t>ハンイ</t>
    </rPh>
    <rPh sb="23" eb="25">
      <t>サクセイ</t>
    </rPh>
    <rPh sb="26" eb="28">
      <t>ジョウタン</t>
    </rPh>
    <rPh sb="30" eb="33">
      <t>ニジュウセン</t>
    </rPh>
    <rPh sb="33" eb="34">
      <t>カコ</t>
    </rPh>
    <rPh sb="34" eb="36">
      <t>ブブン</t>
    </rPh>
    <rPh sb="37" eb="41">
      <t>ナマエトウロク</t>
    </rPh>
    <rPh sb="52" eb="54">
      <t>ハンイ</t>
    </rPh>
    <rPh sb="54" eb="56">
      <t>トウロク</t>
    </rPh>
    <rPh sb="57" eb="59">
      <t>シヨウ</t>
    </rPh>
    <phoneticPr fontId="1"/>
  </si>
  <si>
    <t>１　赤字及び二重線囲部分を各加算に応じて更新すること</t>
    <rPh sb="2" eb="4">
      <t>アカジ</t>
    </rPh>
    <rPh sb="4" eb="5">
      <t>オヨ</t>
    </rPh>
    <rPh sb="6" eb="9">
      <t>ニジュウセン</t>
    </rPh>
    <rPh sb="9" eb="10">
      <t>カコ</t>
    </rPh>
    <rPh sb="10" eb="12">
      <t>ブブン</t>
    </rPh>
    <rPh sb="13" eb="16">
      <t>カクカサン</t>
    </rPh>
    <rPh sb="17" eb="18">
      <t>オウ</t>
    </rPh>
    <rPh sb="20" eb="22">
      <t>コウシン</t>
    </rPh>
    <phoneticPr fontId="1"/>
  </si>
  <si>
    <t>施設長</t>
    <phoneticPr fontId="1"/>
  </si>
  <si>
    <t>事務員</t>
    <phoneticPr fontId="1"/>
  </si>
  <si>
    <t>　特定教育・保育等に要する費用の額の算定に係る職員数算出表</t>
    <phoneticPr fontId="1"/>
  </si>
  <si>
    <t>２　「-」は対象外のため数式未入力箇所</t>
    <rPh sb="6" eb="9">
      <t>タイショウガイ</t>
    </rPh>
    <rPh sb="12" eb="19">
      <t>スウシキミニュウリョクカショ</t>
    </rPh>
    <phoneticPr fontId="1"/>
  </si>
  <si>
    <t>○</t>
    <phoneticPr fontId="1"/>
  </si>
  <si>
    <t>-</t>
    <phoneticPr fontId="1"/>
  </si>
  <si>
    <t>下限調整</t>
    <rPh sb="0" eb="4">
      <t>カゲンチョウセイ</t>
    </rPh>
    <phoneticPr fontId="1"/>
  </si>
  <si>
    <t>パターン</t>
    <phoneticPr fontId="1"/>
  </si>
  <si>
    <t>パターン</t>
    <phoneticPr fontId="1"/>
  </si>
  <si>
    <t>特例</t>
    <rPh sb="0" eb="2">
      <t>トクレイ</t>
    </rPh>
    <phoneticPr fontId="1"/>
  </si>
  <si>
    <t>重複判定データ</t>
    <rPh sb="0" eb="4">
      <t>チョウフクハンテイ</t>
    </rPh>
    <phoneticPr fontId="1"/>
  </si>
  <si>
    <t>No</t>
    <phoneticPr fontId="1"/>
  </si>
  <si>
    <t>個票の申請状況引用</t>
    <rPh sb="0" eb="2">
      <t>コヒョウ</t>
    </rPh>
    <rPh sb="3" eb="5">
      <t>シンセイ</t>
    </rPh>
    <rPh sb="5" eb="7">
      <t>ジョウキョウ</t>
    </rPh>
    <rPh sb="7" eb="9">
      <t>インヨウ</t>
    </rPh>
    <phoneticPr fontId="1"/>
  </si>
  <si>
    <t>その他条件（判定に使用）</t>
    <rPh sb="2" eb="5">
      <t>タジョウケン</t>
    </rPh>
    <rPh sb="6" eb="8">
      <t>ハンテイ</t>
    </rPh>
    <rPh sb="9" eb="11">
      <t>シヨウ</t>
    </rPh>
    <phoneticPr fontId="1"/>
  </si>
  <si>
    <t>担当者のドロップダウンに使用。右の「リスト登録」で登録した名前を引用</t>
    <rPh sb="0" eb="3">
      <t>タントウシャ</t>
    </rPh>
    <rPh sb="12" eb="14">
      <t>シヨウ</t>
    </rPh>
    <rPh sb="15" eb="16">
      <t>ミギ</t>
    </rPh>
    <rPh sb="21" eb="23">
      <t>トウロク</t>
    </rPh>
    <rPh sb="25" eb="27">
      <t>トウロク</t>
    </rPh>
    <rPh sb="29" eb="31">
      <t>ナマエ</t>
    </rPh>
    <rPh sb="32" eb="34">
      <t>インヨウ</t>
    </rPh>
    <phoneticPr fontId="1"/>
  </si>
  <si>
    <t>○</t>
    <phoneticPr fontId="1"/>
  </si>
  <si>
    <t>○</t>
    <phoneticPr fontId="1"/>
  </si>
  <si>
    <t>重複判定から除外する番号を重複判定データから引用する</t>
    <rPh sb="0" eb="2">
      <t>チョウフク</t>
    </rPh>
    <rPh sb="2" eb="4">
      <t>ハンテイ</t>
    </rPh>
    <rPh sb="6" eb="8">
      <t>ジョガイ</t>
    </rPh>
    <rPh sb="10" eb="12">
      <t>バンゴウ</t>
    </rPh>
    <rPh sb="13" eb="17">
      <t>チョウフクハンテイ</t>
    </rPh>
    <rPh sb="22" eb="24">
      <t>インヨウ</t>
    </rPh>
    <phoneticPr fontId="1"/>
  </si>
  <si>
    <t>兼務職員や補助金担当時間を調整する際に使用。項目には職種名、人/月には調整する常勤換算数を引用</t>
    <rPh sb="0" eb="4">
      <t>ケンムショクイン</t>
    </rPh>
    <rPh sb="5" eb="8">
      <t>ホジョキン</t>
    </rPh>
    <rPh sb="8" eb="10">
      <t>タントウ</t>
    </rPh>
    <rPh sb="10" eb="12">
      <t>ジカン</t>
    </rPh>
    <rPh sb="13" eb="15">
      <t>チョウセイ</t>
    </rPh>
    <rPh sb="17" eb="18">
      <t>サイ</t>
    </rPh>
    <rPh sb="19" eb="21">
      <t>シヨウ</t>
    </rPh>
    <rPh sb="22" eb="24">
      <t>コウモク</t>
    </rPh>
    <rPh sb="26" eb="29">
      <t>ショクシュメイ</t>
    </rPh>
    <rPh sb="30" eb="31">
      <t>ジン</t>
    </rPh>
    <rPh sb="32" eb="33">
      <t>ツキ</t>
    </rPh>
    <rPh sb="35" eb="37">
      <t>チョウセイ</t>
    </rPh>
    <rPh sb="39" eb="44">
      <t>ジョウキンカンサンスウ</t>
    </rPh>
    <rPh sb="45" eb="47">
      <t>インヨウ</t>
    </rPh>
    <phoneticPr fontId="1"/>
  </si>
  <si>
    <t>下限調整なし</t>
    <rPh sb="0" eb="4">
      <t>カゲンチョウセイ</t>
    </rPh>
    <phoneticPr fontId="1"/>
  </si>
  <si>
    <t>○</t>
    <phoneticPr fontId="1"/>
  </si>
  <si>
    <t>○</t>
    <phoneticPr fontId="1"/>
  </si>
  <si>
    <t>担当時間調整あり</t>
    <rPh sb="0" eb="6">
      <t>タントウジカンチョウセイ</t>
    </rPh>
    <phoneticPr fontId="1"/>
  </si>
  <si>
    <t>↑パターンごとに手入力</t>
    <rPh sb="8" eb="11">
      <t>テニュウリョク</t>
    </rPh>
    <phoneticPr fontId="1"/>
  </si>
  <si>
    <t>↑対象判定数式を加算ごとに入力（左の個票を使用すると良い）</t>
    <rPh sb="1" eb="5">
      <t>タイショウハンテイ</t>
    </rPh>
    <rPh sb="5" eb="7">
      <t>スウシキ</t>
    </rPh>
    <rPh sb="8" eb="10">
      <t>カサン</t>
    </rPh>
    <rPh sb="13" eb="15">
      <t>ニュウリョク</t>
    </rPh>
    <rPh sb="16" eb="17">
      <t>ヒダリ</t>
    </rPh>
    <rPh sb="18" eb="20">
      <t>コヒョウ</t>
    </rPh>
    <rPh sb="21" eb="23">
      <t>シヨウ</t>
    </rPh>
    <rPh sb="26" eb="27">
      <t>ヨ</t>
    </rPh>
    <phoneticPr fontId="1"/>
  </si>
  <si>
    <t>パターン</t>
    <phoneticPr fontId="1"/>
  </si>
  <si>
    <t>特例①</t>
    <rPh sb="0" eb="2">
      <t>トクレイ</t>
    </rPh>
    <phoneticPr fontId="1"/>
  </si>
  <si>
    <t>特例②</t>
    <rPh sb="0" eb="2">
      <t>トクレイ</t>
    </rPh>
    <phoneticPr fontId="1"/>
  </si>
  <si>
    <t>特例③</t>
    <rPh sb="0" eb="3">
      <t>トクレイ3</t>
    </rPh>
    <phoneticPr fontId="1"/>
  </si>
  <si>
    <t>-</t>
    <phoneticPr fontId="1"/>
  </si>
  <si>
    <t>-</t>
    <phoneticPr fontId="1"/>
  </si>
  <si>
    <t>調理員へ変更</t>
    <rPh sb="4" eb="6">
      <t>ヘンコウ</t>
    </rPh>
    <phoneticPr fontId="1"/>
  </si>
  <si>
    <t>事務員へ変更</t>
    <rPh sb="4" eb="6">
      <t>ヘンコウ</t>
    </rPh>
    <phoneticPr fontId="1"/>
  </si>
  <si>
    <t>…ア</t>
    <phoneticPr fontId="1"/>
  </si>
  <si>
    <t>４歳児</t>
    <phoneticPr fontId="1"/>
  </si>
  <si>
    <t>５歳児</t>
    <phoneticPr fontId="1"/>
  </si>
  <si>
    <t>保育士</t>
    <rPh sb="0" eb="3">
      <t>ホイクシ</t>
    </rPh>
    <phoneticPr fontId="1"/>
  </si>
  <si>
    <t>　・　委託は「保育士」のみ常勤換算数に含まれて計算されます。</t>
    <rPh sb="3" eb="5">
      <t>イタク</t>
    </rPh>
    <rPh sb="7" eb="10">
      <t>ホイクシ</t>
    </rPh>
    <rPh sb="13" eb="18">
      <t>ジョウキンカンサンスウ</t>
    </rPh>
    <rPh sb="19" eb="20">
      <t>フク</t>
    </rPh>
    <rPh sb="23" eb="25">
      <t>ケイサン</t>
    </rPh>
    <phoneticPr fontId="1"/>
  </si>
  <si>
    <t>-</t>
    <phoneticPr fontId="1"/>
  </si>
  <si>
    <t>-</t>
    <phoneticPr fontId="1"/>
  </si>
  <si>
    <t>保育士</t>
    <phoneticPr fontId="1"/>
  </si>
  <si>
    <t>↑(数式＞定義された名前＞選択範囲から作成＞上端　で二重線囲部分を名前登録する➡ドロップダウンの範囲登録に使用)</t>
    <phoneticPr fontId="1"/>
  </si>
  <si>
    <t>リスト（状況に応じて更新）</t>
    <rPh sb="4" eb="6">
      <t>ジョウキョウ</t>
    </rPh>
    <rPh sb="7" eb="8">
      <t>オウ</t>
    </rPh>
    <rPh sb="10" eb="12">
      <t>コウシン</t>
    </rPh>
    <phoneticPr fontId="1"/>
  </si>
  <si>
    <t>嘱託医・嘱託歯科医</t>
    <rPh sb="0" eb="3">
      <t>ショクタクイ</t>
    </rPh>
    <rPh sb="4" eb="9">
      <t>ショクタクシカイ</t>
    </rPh>
    <phoneticPr fontId="1"/>
  </si>
  <si>
    <t>-</t>
    <phoneticPr fontId="1"/>
  </si>
  <si>
    <t>本園</t>
    <rPh sb="0" eb="2">
      <t>ホンエン</t>
    </rPh>
    <phoneticPr fontId="1"/>
  </si>
  <si>
    <t>０歳児（乳児）</t>
    <rPh sb="1" eb="2">
      <t>サイ</t>
    </rPh>
    <rPh sb="2" eb="3">
      <t>ジ</t>
    </rPh>
    <rPh sb="4" eb="6">
      <t>ニュウジ</t>
    </rPh>
    <phoneticPr fontId="1"/>
  </si>
  <si>
    <t>１歳児</t>
    <phoneticPr fontId="1"/>
  </si>
  <si>
    <t>２歳児</t>
    <phoneticPr fontId="1"/>
  </si>
  <si>
    <t>３歳児</t>
    <phoneticPr fontId="1"/>
  </si>
  <si>
    <t>①</t>
    <phoneticPr fontId="1"/>
  </si>
  <si>
    <t>②</t>
    <phoneticPr fontId="1"/>
  </si>
  <si>
    <t>③</t>
    <phoneticPr fontId="1"/>
  </si>
  <si>
    <t>主任保育士専任加算</t>
    <rPh sb="0" eb="2">
      <t>シュニン</t>
    </rPh>
    <rPh sb="2" eb="9">
      <t>ホイクシセンニンカサン</t>
    </rPh>
    <rPh sb="5" eb="7">
      <t>センニン</t>
    </rPh>
    <rPh sb="7" eb="9">
      <t>カサン</t>
    </rPh>
    <phoneticPr fontId="1"/>
  </si>
  <si>
    <t>保育士①</t>
    <rPh sb="0" eb="3">
      <t>ホイクシ</t>
    </rPh>
    <phoneticPr fontId="1"/>
  </si>
  <si>
    <t>保育士②</t>
    <rPh sb="0" eb="4">
      <t>ホイクシ2</t>
    </rPh>
    <phoneticPr fontId="1"/>
  </si>
  <si>
    <t>保育士③</t>
    <rPh sb="0" eb="3">
      <t>ホイクシ</t>
    </rPh>
    <phoneticPr fontId="1"/>
  </si>
  <si>
    <t>-</t>
    <phoneticPr fontId="1"/>
  </si>
  <si>
    <t>-</t>
    <phoneticPr fontId="1"/>
  </si>
  <si>
    <t>常勤</t>
    <rPh sb="0" eb="2">
      <t>ジョウキン</t>
    </rPh>
    <phoneticPr fontId="1"/>
  </si>
  <si>
    <t>-</t>
    <phoneticPr fontId="1"/>
  </si>
  <si>
    <t>常勤保育士</t>
    <rPh sb="0" eb="2">
      <t>ジョウキン</t>
    </rPh>
    <rPh sb="2" eb="5">
      <t>ホイクシ</t>
    </rPh>
    <phoneticPr fontId="1"/>
  </si>
  <si>
    <t>主任保育士専任化加算の代替保育士１人</t>
    <rPh sb="0" eb="2">
      <t>シュニン</t>
    </rPh>
    <rPh sb="2" eb="5">
      <t>ホイクシ</t>
    </rPh>
    <rPh sb="5" eb="7">
      <t>センニン</t>
    </rPh>
    <rPh sb="7" eb="8">
      <t>カ</t>
    </rPh>
    <rPh sb="8" eb="10">
      <t>カサン</t>
    </rPh>
    <rPh sb="11" eb="13">
      <t>ダイタイ</t>
    </rPh>
    <rPh sb="13" eb="16">
      <t>ホイクシ</t>
    </rPh>
    <rPh sb="17" eb="18">
      <t>ニン</t>
    </rPh>
    <phoneticPr fontId="1"/>
  </si>
  <si>
    <t>保育標準時間児童が利用する場合は１人（分園がある場合は各１人）</t>
    <rPh sb="0" eb="2">
      <t>ホイク</t>
    </rPh>
    <rPh sb="2" eb="4">
      <t>ヒョウジュン</t>
    </rPh>
    <rPh sb="4" eb="6">
      <t>ジカン</t>
    </rPh>
    <rPh sb="6" eb="8">
      <t>ジドウ</t>
    </rPh>
    <rPh sb="9" eb="11">
      <t>リヨウ</t>
    </rPh>
    <rPh sb="13" eb="15">
      <t>バアイ</t>
    </rPh>
    <rPh sb="17" eb="18">
      <t>ニン</t>
    </rPh>
    <rPh sb="19" eb="21">
      <t>ブンエン</t>
    </rPh>
    <rPh sb="24" eb="26">
      <t>バアイ</t>
    </rPh>
    <rPh sb="27" eb="28">
      <t>カク</t>
    </rPh>
    <rPh sb="29" eb="30">
      <t>ニン</t>
    </rPh>
    <phoneticPr fontId="1"/>
  </si>
  <si>
    <t>利用定員90人以下については１人（分園がある場合は各１人）</t>
    <rPh sb="0" eb="4">
      <t>リヨウテイイン</t>
    </rPh>
    <rPh sb="6" eb="9">
      <t>ニンイカ</t>
    </rPh>
    <rPh sb="15" eb="16">
      <t>ニン</t>
    </rPh>
    <rPh sb="17" eb="19">
      <t>ブンエン</t>
    </rPh>
    <rPh sb="22" eb="24">
      <t>バアイ</t>
    </rPh>
    <rPh sb="25" eb="26">
      <t>カク</t>
    </rPh>
    <rPh sb="27" eb="28">
      <t>ニン</t>
    </rPh>
    <phoneticPr fontId="1"/>
  </si>
  <si>
    <t>主任保育士及びその代替保育士を配置し、職員配置を充足している（様式5）</t>
    <rPh sb="0" eb="2">
      <t>シュニン</t>
    </rPh>
    <rPh sb="2" eb="5">
      <t>ホイクシ</t>
    </rPh>
    <rPh sb="5" eb="6">
      <t>オヨ</t>
    </rPh>
    <rPh sb="9" eb="11">
      <t>ダイタイ</t>
    </rPh>
    <rPh sb="11" eb="14">
      <t>ホイクシ</t>
    </rPh>
    <rPh sb="15" eb="17">
      <t>ハイチ</t>
    </rPh>
    <rPh sb="19" eb="23">
      <t>ショクインハイチ</t>
    </rPh>
    <rPh sb="24" eb="26">
      <t>ジュウソク</t>
    </rPh>
    <rPh sb="31" eb="33">
      <t>ヨウシキ</t>
    </rPh>
    <phoneticPr fontId="1"/>
  </si>
  <si>
    <t>①　様式5</t>
    <rPh sb="2" eb="4">
      <t>ヨウシキ</t>
    </rPh>
    <phoneticPr fontId="1"/>
  </si>
  <si>
    <t>看護師・保健師</t>
    <rPh sb="0" eb="3">
      <t>カンゴシ</t>
    </rPh>
    <rPh sb="4" eb="7">
      <t>ホケンシ</t>
    </rPh>
    <phoneticPr fontId="1"/>
  </si>
  <si>
    <t>保育士代用</t>
    <rPh sb="0" eb="5">
      <t>ホイクシダイヨウ</t>
    </rPh>
    <phoneticPr fontId="1"/>
  </si>
  <si>
    <t>療育支援補助者を配置している（様式5）</t>
    <rPh sb="0" eb="2">
      <t>リョウイク</t>
    </rPh>
    <rPh sb="2" eb="4">
      <t>シエン</t>
    </rPh>
    <rPh sb="4" eb="6">
      <t>ホジョ</t>
    </rPh>
    <rPh sb="6" eb="7">
      <t>シャ</t>
    </rPh>
    <rPh sb="8" eb="10">
      <t>ハイチ</t>
    </rPh>
    <rPh sb="15" eb="17">
      <t>ヨウシキ</t>
    </rPh>
    <phoneticPr fontId="1"/>
  </si>
  <si>
    <t>主任保育士選任加算</t>
    <rPh sb="0" eb="9">
      <t>シュニンホイクシセンニンカサン</t>
    </rPh>
    <phoneticPr fontId="1"/>
  </si>
  <si>
    <t>全職種</t>
    <rPh sb="0" eb="3">
      <t>ゼンショクシュ</t>
    </rPh>
    <phoneticPr fontId="1"/>
  </si>
  <si>
    <t>5歳児</t>
    <rPh sb="1" eb="2">
      <t>サイ</t>
    </rPh>
    <rPh sb="2" eb="3">
      <t>ジ</t>
    </rPh>
    <phoneticPr fontId="1"/>
  </si>
  <si>
    <t>4歳児</t>
    <rPh sb="1" eb="2">
      <t>サイ</t>
    </rPh>
    <rPh sb="2" eb="3">
      <t>ジ</t>
    </rPh>
    <phoneticPr fontId="1"/>
  </si>
  <si>
    <t>3歳児</t>
    <rPh sb="1" eb="3">
      <t>サイジ</t>
    </rPh>
    <phoneticPr fontId="1"/>
  </si>
  <si>
    <t>満3歳児</t>
    <rPh sb="0" eb="1">
      <t>マン</t>
    </rPh>
    <rPh sb="2" eb="4">
      <t>サイジ</t>
    </rPh>
    <phoneticPr fontId="1"/>
  </si>
  <si>
    <t>2歳児</t>
    <rPh sb="1" eb="3">
      <t>サイジ</t>
    </rPh>
    <phoneticPr fontId="1"/>
  </si>
  <si>
    <t>1歳児</t>
    <rPh sb="1" eb="2">
      <t>サイ</t>
    </rPh>
    <rPh sb="2" eb="3">
      <t>ジ</t>
    </rPh>
    <phoneticPr fontId="1"/>
  </si>
  <si>
    <t>0歳児（乳児）</t>
    <rPh sb="1" eb="2">
      <t>サイ</t>
    </rPh>
    <rPh sb="2" eb="3">
      <t>ジ</t>
    </rPh>
    <rPh sb="4" eb="6">
      <t>ニュウジ</t>
    </rPh>
    <phoneticPr fontId="1"/>
  </si>
  <si>
    <t>職種・リスト名</t>
    <rPh sb="0" eb="2">
      <t>ショクシュ</t>
    </rPh>
    <rPh sb="6" eb="7">
      <t>メイ</t>
    </rPh>
    <phoneticPr fontId="1"/>
  </si>
  <si>
    <t>保育士※</t>
    <rPh sb="0" eb="3">
      <t>ホイクシ</t>
    </rPh>
    <phoneticPr fontId="1"/>
  </si>
  <si>
    <t>　就業規則等で定める常勤職員１人の１か月の所定労働時間(休憩時間を含まない。)を記載すること。ただし、150時間未満の場合は根拠・理由を記載すること。</t>
    <phoneticPr fontId="1"/>
  </si>
  <si>
    <t>判定</t>
    <rPh sb="0" eb="2">
      <t>ハンテイ</t>
    </rPh>
    <phoneticPr fontId="1"/>
  </si>
  <si>
    <t>園長等が兼務</t>
    <rPh sb="0" eb="2">
      <t>エンチョウ</t>
    </rPh>
    <rPh sb="2" eb="3">
      <t>トウ</t>
    </rPh>
    <rPh sb="4" eb="6">
      <t>ケンム</t>
    </rPh>
    <phoneticPr fontId="1"/>
  </si>
  <si>
    <t>嘱託医等</t>
    <rPh sb="0" eb="3">
      <t>ショクタクイ</t>
    </rPh>
    <rPh sb="3" eb="4">
      <t>トウ</t>
    </rPh>
    <phoneticPr fontId="1"/>
  </si>
  <si>
    <t>主任</t>
    <rPh sb="0" eb="2">
      <t>シュニン</t>
    </rPh>
    <phoneticPr fontId="1"/>
  </si>
  <si>
    <t>主任代替</t>
    <rPh sb="0" eb="4">
      <t>シュニンダイタイ</t>
    </rPh>
    <phoneticPr fontId="1"/>
  </si>
  <si>
    <t>振替休日（元日）</t>
    <rPh sb="0" eb="2">
      <t>フリカエ</t>
    </rPh>
    <rPh sb="2" eb="4">
      <t>キュウジツ</t>
    </rPh>
    <rPh sb="5" eb="7">
      <t>ガンジツ</t>
    </rPh>
    <phoneticPr fontId="1"/>
  </si>
  <si>
    <t>振替休日（建国記念の日）</t>
    <rPh sb="0" eb="4">
      <t>フリカエキュウジツ</t>
    </rPh>
    <rPh sb="5" eb="9">
      <t>ケンコクキネン</t>
    </rPh>
    <rPh sb="10" eb="11">
      <t>ヒ</t>
    </rPh>
    <phoneticPr fontId="1"/>
  </si>
  <si>
    <t>振替休日（こどもの日）</t>
    <rPh sb="0" eb="4">
      <t>フリカエキュウジツ</t>
    </rPh>
    <rPh sb="9" eb="10">
      <t>ヒ</t>
    </rPh>
    <phoneticPr fontId="1"/>
  </si>
  <si>
    <t>海の日</t>
    <rPh sb="0" eb="1">
      <t>ウミ</t>
    </rPh>
    <rPh sb="2" eb="3">
      <t>ヒ</t>
    </rPh>
    <phoneticPr fontId="1"/>
  </si>
  <si>
    <t>山の日</t>
    <rPh sb="0" eb="1">
      <t>ヤマ</t>
    </rPh>
    <rPh sb="2" eb="3">
      <t>ヒ</t>
    </rPh>
    <phoneticPr fontId="1"/>
  </si>
  <si>
    <t>振替休日（山の日）</t>
    <rPh sb="0" eb="4">
      <t>フリカエキュウジツ</t>
    </rPh>
    <rPh sb="5" eb="6">
      <t>ヤマ</t>
    </rPh>
    <rPh sb="7" eb="8">
      <t>ヒ</t>
    </rPh>
    <phoneticPr fontId="1"/>
  </si>
  <si>
    <t>秋分の日</t>
    <rPh sb="0" eb="2">
      <t>シュウブン</t>
    </rPh>
    <rPh sb="3" eb="4">
      <t>ヒ</t>
    </rPh>
    <phoneticPr fontId="1"/>
  </si>
  <si>
    <t>振替休日（秋分の日）</t>
    <rPh sb="0" eb="4">
      <t>フリカエキュウジツ</t>
    </rPh>
    <rPh sb="5" eb="7">
      <t>シュウブン</t>
    </rPh>
    <rPh sb="8" eb="9">
      <t>ヒ</t>
    </rPh>
    <phoneticPr fontId="1"/>
  </si>
  <si>
    <t>スポーツの日</t>
    <rPh sb="5" eb="6">
      <t>ヒ</t>
    </rPh>
    <phoneticPr fontId="1"/>
  </si>
  <si>
    <t>文化の日</t>
    <rPh sb="0" eb="2">
      <t>ブンカ</t>
    </rPh>
    <rPh sb="3" eb="4">
      <t>ヒ</t>
    </rPh>
    <phoneticPr fontId="1"/>
  </si>
  <si>
    <t>振替休日（文化の日）</t>
    <rPh sb="0" eb="10">
      <t>フリカエキュウジツ</t>
    </rPh>
    <phoneticPr fontId="1"/>
  </si>
  <si>
    <t>勤労感謝の日</t>
    <rPh sb="0" eb="4">
      <t>キンロウカンシャ</t>
    </rPh>
    <rPh sb="5" eb="6">
      <t>ヒ</t>
    </rPh>
    <phoneticPr fontId="1"/>
  </si>
  <si>
    <t>振替休日（天皇誕生日）</t>
    <rPh sb="0" eb="4">
      <t>フリカエキュウジツ</t>
    </rPh>
    <rPh sb="5" eb="10">
      <t>テンノウタンジョウビ</t>
    </rPh>
    <phoneticPr fontId="1"/>
  </si>
  <si>
    <t>振替休日（みどりの日）</t>
    <rPh sb="0" eb="4">
      <t>フリカエキュウジツ</t>
    </rPh>
    <rPh sb="9" eb="10">
      <t>ヒ</t>
    </rPh>
    <phoneticPr fontId="1"/>
  </si>
  <si>
    <t>振替休日（勤労感謝の日）</t>
    <rPh sb="0" eb="4">
      <t>フリカエキュウジツ</t>
    </rPh>
    <rPh sb="5" eb="9">
      <t>キンロウカンシャ</t>
    </rPh>
    <rPh sb="10" eb="11">
      <t>ヒ</t>
    </rPh>
    <phoneticPr fontId="1"/>
  </si>
  <si>
    <t>-</t>
    <phoneticPr fontId="1"/>
  </si>
  <si>
    <t xml:space="preserve">休日保育加算
</t>
    <rPh sb="0" eb="6">
      <t>キュウジツホイクカサン</t>
    </rPh>
    <phoneticPr fontId="1"/>
  </si>
  <si>
    <t>食物アレルギー児保育事業費補助金</t>
    <rPh sb="0" eb="2">
      <t>ショクモツ</t>
    </rPh>
    <rPh sb="7" eb="8">
      <t>ジ</t>
    </rPh>
    <rPh sb="8" eb="10">
      <t>ホイク</t>
    </rPh>
    <rPh sb="10" eb="12">
      <t>ジギョウ</t>
    </rPh>
    <rPh sb="12" eb="13">
      <t>ヒ</t>
    </rPh>
    <rPh sb="13" eb="16">
      <t>ホジョキン</t>
    </rPh>
    <phoneticPr fontId="1"/>
  </si>
  <si>
    <t>産休等代替職員雇用費補助金</t>
    <rPh sb="0" eb="2">
      <t>サンキュウ</t>
    </rPh>
    <rPh sb="2" eb="3">
      <t>トウ</t>
    </rPh>
    <rPh sb="3" eb="5">
      <t>ダイタイ</t>
    </rPh>
    <rPh sb="5" eb="7">
      <t>ショクイン</t>
    </rPh>
    <rPh sb="7" eb="9">
      <t>コヨウ</t>
    </rPh>
    <rPh sb="9" eb="10">
      <t>ヒ</t>
    </rPh>
    <rPh sb="10" eb="13">
      <t>ホジョキン</t>
    </rPh>
    <phoneticPr fontId="1"/>
  </si>
  <si>
    <t>2号</t>
    <rPh sb="1" eb="2">
      <t>ゴウ</t>
    </rPh>
    <phoneticPr fontId="1"/>
  </si>
  <si>
    <t>3号</t>
    <rPh sb="1" eb="2">
      <t>ゴウ</t>
    </rPh>
    <phoneticPr fontId="1"/>
  </si>
  <si>
    <t>標準</t>
    <rPh sb="0" eb="2">
      <t>ヒョウジュン</t>
    </rPh>
    <phoneticPr fontId="1"/>
  </si>
  <si>
    <t>短</t>
    <rPh sb="0" eb="1">
      <t>タン</t>
    </rPh>
    <phoneticPr fontId="1"/>
  </si>
  <si>
    <t>認定区分</t>
    <rPh sb="0" eb="4">
      <t>ニンテイクブン</t>
    </rPh>
    <phoneticPr fontId="1"/>
  </si>
  <si>
    <t>障がい児保育事業費補助金</t>
    <rPh sb="0" eb="1">
      <t>ショウ</t>
    </rPh>
    <rPh sb="3" eb="4">
      <t>ジ</t>
    </rPh>
    <rPh sb="4" eb="6">
      <t>ホイク</t>
    </rPh>
    <rPh sb="6" eb="8">
      <t>ジギョウ</t>
    </rPh>
    <rPh sb="8" eb="9">
      <t>ヒ</t>
    </rPh>
    <rPh sb="9" eb="12">
      <t>ホジョキン</t>
    </rPh>
    <phoneticPr fontId="1"/>
  </si>
  <si>
    <t>一時保育事業補助金</t>
    <rPh sb="0" eb="2">
      <t>イチジ</t>
    </rPh>
    <rPh sb="2" eb="4">
      <t>ホイク</t>
    </rPh>
    <rPh sb="4" eb="6">
      <t>ジギョウ</t>
    </rPh>
    <rPh sb="6" eb="9">
      <t>ホジョキン</t>
    </rPh>
    <phoneticPr fontId="1"/>
  </si>
  <si>
    <t>対象職員分計上</t>
    <rPh sb="0" eb="4">
      <t>タイショウショクイン</t>
    </rPh>
    <rPh sb="4" eb="5">
      <t>ブン</t>
    </rPh>
    <rPh sb="5" eb="7">
      <t>ケイジョウ</t>
    </rPh>
    <phoneticPr fontId="1"/>
  </si>
  <si>
    <t>下限時間②→</t>
    <rPh sb="0" eb="2">
      <t>カゲン</t>
    </rPh>
    <rPh sb="2" eb="4">
      <t>ジカン</t>
    </rPh>
    <phoneticPr fontId="1"/>
  </si>
  <si>
    <t>下限時間①→</t>
    <rPh sb="0" eb="2">
      <t>カゲン</t>
    </rPh>
    <rPh sb="2" eb="4">
      <t>ジカン</t>
    </rPh>
    <phoneticPr fontId="1"/>
  </si>
  <si>
    <t>下限調整あり②</t>
    <rPh sb="0" eb="4">
      <t>カゲンチョウセイ</t>
    </rPh>
    <phoneticPr fontId="1"/>
  </si>
  <si>
    <t>➡</t>
    <phoneticPr fontId="1"/>
  </si>
  <si>
    <t>【歳児】</t>
    <rPh sb="1" eb="3">
      <t>サイジ</t>
    </rPh>
    <phoneticPr fontId="1"/>
  </si>
  <si>
    <t>【配置基準】</t>
    <rPh sb="1" eb="5">
      <t>ハイチキジュン</t>
    </rPh>
    <phoneticPr fontId="1"/>
  </si>
  <si>
    <t>【本園】</t>
    <rPh sb="1" eb="3">
      <t>ホンエン</t>
    </rPh>
    <phoneticPr fontId="1"/>
  </si>
  <si>
    <t>【分園】</t>
    <rPh sb="1" eb="3">
      <t>ブンエン</t>
    </rPh>
    <phoneticPr fontId="1"/>
  </si>
  <si>
    <t>-</t>
    <phoneticPr fontId="1"/>
  </si>
  <si>
    <t>-</t>
    <phoneticPr fontId="1"/>
  </si>
  <si>
    <t>-</t>
    <phoneticPr fontId="1"/>
  </si>
  <si>
    <t>-</t>
    <phoneticPr fontId="1"/>
  </si>
  <si>
    <t>常勤調理員</t>
    <rPh sb="0" eb="5">
      <t>ジョウキンチョウリイン</t>
    </rPh>
    <phoneticPr fontId="1"/>
  </si>
  <si>
    <t>-</t>
    <phoneticPr fontId="1"/>
  </si>
  <si>
    <t>-</t>
    <phoneticPr fontId="1"/>
  </si>
  <si>
    <t xml:space="preserve">私立認可保育所等に対する各種補助金
</t>
    <rPh sb="0" eb="2">
      <t>シリツ</t>
    </rPh>
    <rPh sb="2" eb="4">
      <t>ニンカ</t>
    </rPh>
    <rPh sb="4" eb="6">
      <t>ホイク</t>
    </rPh>
    <rPh sb="6" eb="7">
      <t>ショ</t>
    </rPh>
    <rPh sb="7" eb="8">
      <t>トウ</t>
    </rPh>
    <rPh sb="9" eb="10">
      <t>タイ</t>
    </rPh>
    <rPh sb="12" eb="14">
      <t>カクシュ</t>
    </rPh>
    <rPh sb="14" eb="17">
      <t>ホジョキン</t>
    </rPh>
    <phoneticPr fontId="1"/>
  </si>
  <si>
    <t>調理員パ－ト雇用費補助金</t>
    <phoneticPr fontId="1"/>
  </si>
  <si>
    <t>様式名</t>
    <rPh sb="0" eb="3">
      <t>ヨウシキメイ</t>
    </rPh>
    <phoneticPr fontId="1"/>
  </si>
  <si>
    <t>様式名</t>
    <rPh sb="0" eb="2">
      <t>ヨウシキ</t>
    </rPh>
    <rPh sb="2" eb="3">
      <t>メイ</t>
    </rPh>
    <phoneticPr fontId="1"/>
  </si>
  <si>
    <t>年間平均在所率</t>
    <rPh sb="0" eb="2">
      <t>ネンカン</t>
    </rPh>
    <rPh sb="2" eb="7">
      <t>ヘイキンザイショリツ</t>
    </rPh>
    <phoneticPr fontId="1"/>
  </si>
  <si>
    <t>年度</t>
    <rPh sb="0" eb="2">
      <t>ネンド</t>
    </rPh>
    <phoneticPr fontId="1"/>
  </si>
  <si>
    <t>申出書の内容</t>
    <rPh sb="0" eb="3">
      <t>モウシデショ</t>
    </rPh>
    <rPh sb="4" eb="6">
      <t>ナイヨウ</t>
    </rPh>
    <phoneticPr fontId="1"/>
  </si>
  <si>
    <t>申出内容：</t>
    <rPh sb="0" eb="1">
      <t>モウ</t>
    </rPh>
    <rPh sb="1" eb="2">
      <t>デ</t>
    </rPh>
    <rPh sb="2" eb="4">
      <t>ナイヨウ</t>
    </rPh>
    <phoneticPr fontId="1"/>
  </si>
  <si>
    <t>札幌市子ども未来局等と協議し利用定員等の適正な見直しを行った。</t>
    <rPh sb="0" eb="3">
      <t>サッポロシ</t>
    </rPh>
    <rPh sb="3" eb="4">
      <t>コ</t>
    </rPh>
    <rPh sb="6" eb="8">
      <t>ミライ</t>
    </rPh>
    <rPh sb="8" eb="9">
      <t>キョク</t>
    </rPh>
    <rPh sb="9" eb="10">
      <t>トウ</t>
    </rPh>
    <rPh sb="11" eb="13">
      <t>キョウギ</t>
    </rPh>
    <rPh sb="14" eb="16">
      <t>リヨウ</t>
    </rPh>
    <rPh sb="16" eb="18">
      <t>テイイン</t>
    </rPh>
    <rPh sb="18" eb="19">
      <t>トウ</t>
    </rPh>
    <rPh sb="20" eb="22">
      <t>テキセイ</t>
    </rPh>
    <rPh sb="23" eb="25">
      <t>ミナオ</t>
    </rPh>
    <rPh sb="27" eb="28">
      <t>オコナ</t>
    </rPh>
    <phoneticPr fontId="1"/>
  </si>
  <si>
    <t>　以下のとおり年間平均在所率が基準を越えることが無いように保育を提供いたします。</t>
    <rPh sb="1" eb="3">
      <t>イカ</t>
    </rPh>
    <rPh sb="7" eb="9">
      <t>ネンカン</t>
    </rPh>
    <rPh sb="9" eb="11">
      <t>ヘイキン</t>
    </rPh>
    <rPh sb="11" eb="13">
      <t>ザイショリ</t>
    </rPh>
    <rPh sb="13" eb="14">
      <t>リツ</t>
    </rPh>
    <rPh sb="15" eb="17">
      <t>キジュン</t>
    </rPh>
    <rPh sb="18" eb="19">
      <t>コ</t>
    </rPh>
    <rPh sb="24" eb="25">
      <t>ナ</t>
    </rPh>
    <rPh sb="29" eb="31">
      <t>ホイク</t>
    </rPh>
    <rPh sb="32" eb="34">
      <t>テイキョウ</t>
    </rPh>
    <phoneticPr fontId="1"/>
  </si>
  <si>
    <t>札幌市子ども未来局支援制度担当部長　宛</t>
    <rPh sb="0" eb="3">
      <t>サッポロシ</t>
    </rPh>
    <rPh sb="3" eb="4">
      <t>コ</t>
    </rPh>
    <rPh sb="6" eb="9">
      <t>ミライキョク</t>
    </rPh>
    <rPh sb="9" eb="11">
      <t>シエン</t>
    </rPh>
    <rPh sb="11" eb="13">
      <t>セイド</t>
    </rPh>
    <rPh sb="13" eb="15">
      <t>タントウ</t>
    </rPh>
    <rPh sb="15" eb="17">
      <t>ブチョウ</t>
    </rPh>
    <rPh sb="18" eb="19">
      <t>アテ</t>
    </rPh>
    <phoneticPr fontId="1"/>
  </si>
  <si>
    <t>保</t>
    <rPh sb="0" eb="1">
      <t>ホ</t>
    </rPh>
    <phoneticPr fontId="1"/>
  </si>
  <si>
    <t>ピッコロ子ども倶楽部円山園</t>
    <rPh sb="4" eb="5">
      <t>コ</t>
    </rPh>
    <rPh sb="7" eb="10">
      <t>クラブ</t>
    </rPh>
    <rPh sb="10" eb="12">
      <t>マルヤマ</t>
    </rPh>
    <rPh sb="12" eb="13">
      <t>エン</t>
    </rPh>
    <phoneticPr fontId="1"/>
  </si>
  <si>
    <t>札幌ハイジ保育園苗穂保育ルーム</t>
    <rPh sb="0" eb="2">
      <t>サッポロ</t>
    </rPh>
    <rPh sb="5" eb="8">
      <t>ホイクエン</t>
    </rPh>
    <rPh sb="8" eb="10">
      <t>ナエボ</t>
    </rPh>
    <rPh sb="10" eb="12">
      <t>ホイク</t>
    </rPh>
    <phoneticPr fontId="1"/>
  </si>
  <si>
    <t>太陽の子札幌中央保育園</t>
    <rPh sb="6" eb="8">
      <t>チュウオウ</t>
    </rPh>
    <rPh sb="8" eb="11">
      <t>ホイクエン</t>
    </rPh>
    <phoneticPr fontId="1"/>
  </si>
  <si>
    <t>アートチャイルドケア札幌山鼻</t>
    <rPh sb="10" eb="12">
      <t>サッポロ</t>
    </rPh>
    <rPh sb="12" eb="14">
      <t>ヤマハナ</t>
    </rPh>
    <phoneticPr fontId="1"/>
  </si>
  <si>
    <t>札幌円山公園雲母保育園</t>
    <rPh sb="0" eb="2">
      <t>サッポロ</t>
    </rPh>
    <rPh sb="2" eb="4">
      <t>マルヤマ</t>
    </rPh>
    <rPh sb="4" eb="6">
      <t>コウエン</t>
    </rPh>
    <rPh sb="6" eb="8">
      <t>キララ</t>
    </rPh>
    <rPh sb="8" eb="11">
      <t>ホイクエン</t>
    </rPh>
    <phoneticPr fontId="4"/>
  </si>
  <si>
    <t>札幌こども保育園</t>
    <rPh sb="0" eb="2">
      <t>サッポロ</t>
    </rPh>
    <rPh sb="5" eb="8">
      <t>ホイクエン</t>
    </rPh>
    <phoneticPr fontId="4"/>
  </si>
  <si>
    <t>ニチイキッズ南まるやま保育園</t>
    <rPh sb="6" eb="7">
      <t>ミナミ</t>
    </rPh>
    <rPh sb="11" eb="14">
      <t>ホイクエン</t>
    </rPh>
    <phoneticPr fontId="1"/>
  </si>
  <si>
    <t>宮の森ライラック保育園</t>
    <rPh sb="8" eb="11">
      <t>ホイクエン</t>
    </rPh>
    <phoneticPr fontId="1"/>
  </si>
  <si>
    <t>伏見保育園</t>
    <rPh sb="0" eb="5">
      <t>フシミホイクエン</t>
    </rPh>
    <phoneticPr fontId="1"/>
  </si>
  <si>
    <t>山鼻ひまわり保育園</t>
    <rPh sb="0" eb="2">
      <t>ヤマハナ</t>
    </rPh>
    <phoneticPr fontId="1"/>
  </si>
  <si>
    <t>ニチイキッズさっぽろ保育園</t>
    <rPh sb="10" eb="13">
      <t>ホイクエン</t>
    </rPh>
    <phoneticPr fontId="4"/>
  </si>
  <si>
    <t>保育所おーるまいてぃ屯田園</t>
    <rPh sb="0" eb="2">
      <t>ホイク</t>
    </rPh>
    <rPh sb="2" eb="3">
      <t>ショ</t>
    </rPh>
    <rPh sb="10" eb="12">
      <t>トンデン</t>
    </rPh>
    <rPh sb="12" eb="13">
      <t>エン</t>
    </rPh>
    <phoneticPr fontId="1"/>
  </si>
  <si>
    <t>あいの里第２協働保育園</t>
    <rPh sb="3" eb="4">
      <t>サト</t>
    </rPh>
    <rPh sb="4" eb="5">
      <t>ダイ</t>
    </rPh>
    <rPh sb="6" eb="8">
      <t>キョウドウ</t>
    </rPh>
    <rPh sb="8" eb="11">
      <t>ホイクエン</t>
    </rPh>
    <phoneticPr fontId="1"/>
  </si>
  <si>
    <t>ピッコロ子ども倶楽部北大前保育所</t>
    <rPh sb="4" eb="5">
      <t>コ</t>
    </rPh>
    <rPh sb="7" eb="10">
      <t>クラブ</t>
    </rPh>
    <rPh sb="10" eb="12">
      <t>ホクダイ</t>
    </rPh>
    <rPh sb="12" eb="13">
      <t>マエ</t>
    </rPh>
    <rPh sb="13" eb="15">
      <t>ホイク</t>
    </rPh>
    <rPh sb="15" eb="16">
      <t>ショ</t>
    </rPh>
    <phoneticPr fontId="1"/>
  </si>
  <si>
    <t>新川ひまわり保育園</t>
  </si>
  <si>
    <t>新陽保育園</t>
    <rPh sb="0" eb="2">
      <t>シンヨウ</t>
    </rPh>
    <rPh sb="2" eb="5">
      <t>ホイクエン</t>
    </rPh>
    <phoneticPr fontId="1"/>
  </si>
  <si>
    <t>札幌北はぐはぐ保育園</t>
    <rPh sb="0" eb="3">
      <t>サッポロキタ</t>
    </rPh>
    <rPh sb="7" eb="10">
      <t>ホイクエン</t>
    </rPh>
    <phoneticPr fontId="1"/>
  </si>
  <si>
    <t>Ｓ．Ｔ．ナーサリーＳＣＨＯＯＬ新川西</t>
    <rPh sb="15" eb="18">
      <t>シンカワニシ</t>
    </rPh>
    <phoneticPr fontId="1"/>
  </si>
  <si>
    <t>札幌麻生雲母保育園</t>
    <rPh sb="0" eb="2">
      <t>サッポロ</t>
    </rPh>
    <rPh sb="2" eb="4">
      <t>アサブ</t>
    </rPh>
    <rPh sb="4" eb="6">
      <t>ウンモ</t>
    </rPh>
    <rPh sb="6" eb="9">
      <t>ホイクエン</t>
    </rPh>
    <phoneticPr fontId="1"/>
  </si>
  <si>
    <t>もえれ保育園</t>
    <rPh sb="3" eb="6">
      <t>ホイクエン</t>
    </rPh>
    <phoneticPr fontId="1"/>
  </si>
  <si>
    <t>まことさつなえ保育園</t>
    <rPh sb="7" eb="10">
      <t>ホイクエン</t>
    </rPh>
    <phoneticPr fontId="1"/>
  </si>
  <si>
    <t>まことさっぽろ保育園</t>
    <rPh sb="7" eb="10">
      <t>ホイクエン</t>
    </rPh>
    <phoneticPr fontId="1"/>
  </si>
  <si>
    <t>栄南保育園</t>
    <rPh sb="0" eb="1">
      <t>エイ</t>
    </rPh>
    <rPh sb="1" eb="2">
      <t>ナン</t>
    </rPh>
    <rPh sb="2" eb="5">
      <t>ホイクエン</t>
    </rPh>
    <phoneticPr fontId="1"/>
  </si>
  <si>
    <t>ニチイキッズしろいし保育園</t>
    <rPh sb="10" eb="13">
      <t>ホイクエン</t>
    </rPh>
    <phoneticPr fontId="1"/>
  </si>
  <si>
    <t>南郷通たかだ保育園</t>
    <rPh sb="2" eb="3">
      <t>トオ</t>
    </rPh>
    <rPh sb="6" eb="9">
      <t>ホイクエン</t>
    </rPh>
    <phoneticPr fontId="1"/>
  </si>
  <si>
    <t>にこまるえん白石</t>
    <rPh sb="6" eb="8">
      <t>シロイシ</t>
    </rPh>
    <phoneticPr fontId="1"/>
  </si>
  <si>
    <t>きっずぱーく厚別保育園</t>
    <rPh sb="6" eb="8">
      <t>アツベツ</t>
    </rPh>
    <rPh sb="8" eb="11">
      <t>ホイクエン</t>
    </rPh>
    <phoneticPr fontId="1"/>
  </si>
  <si>
    <t>スクルドエンジェル保育園月寒園</t>
    <rPh sb="9" eb="12">
      <t>ホイクエン</t>
    </rPh>
    <rPh sb="12" eb="14">
      <t>ツキサム</t>
    </rPh>
    <rPh sb="14" eb="15">
      <t>エン</t>
    </rPh>
    <phoneticPr fontId="1"/>
  </si>
  <si>
    <t>月寒じゅんのめ保育園</t>
    <rPh sb="0" eb="2">
      <t>ツキサム</t>
    </rPh>
    <rPh sb="7" eb="10">
      <t>ホイクエン</t>
    </rPh>
    <phoneticPr fontId="1"/>
  </si>
  <si>
    <t>きゃんばす平岸保育園</t>
    <rPh sb="5" eb="7">
      <t>ヒラギシ</t>
    </rPh>
    <rPh sb="7" eb="10">
      <t>ホイクエン</t>
    </rPh>
    <phoneticPr fontId="1"/>
  </si>
  <si>
    <t>ラブクローバーの保育園　札幌清田</t>
    <rPh sb="8" eb="11">
      <t>ホイクエン</t>
    </rPh>
    <rPh sb="12" eb="14">
      <t>サッポロ</t>
    </rPh>
    <rPh sb="14" eb="16">
      <t>キヨタ</t>
    </rPh>
    <phoneticPr fontId="1"/>
  </si>
  <si>
    <t>認可保育園Ｌｉｎｄｏ</t>
    <rPh sb="0" eb="5">
      <t>ニンカホイクエン</t>
    </rPh>
    <phoneticPr fontId="1"/>
  </si>
  <si>
    <t>ちゅうわ清田保育園</t>
    <rPh sb="4" eb="6">
      <t>キヨタ</t>
    </rPh>
    <rPh sb="6" eb="9">
      <t>ホイクエン</t>
    </rPh>
    <phoneticPr fontId="1"/>
  </si>
  <si>
    <t>大地の杜保育園</t>
    <rPh sb="0" eb="2">
      <t>ダイチ</t>
    </rPh>
    <rPh sb="3" eb="4">
      <t>モリ</t>
    </rPh>
    <rPh sb="4" eb="7">
      <t>ホイクエン</t>
    </rPh>
    <phoneticPr fontId="1"/>
  </si>
  <si>
    <t>こどもみらい保育園常盤園</t>
    <rPh sb="6" eb="9">
      <t>ホイクエン</t>
    </rPh>
    <rPh sb="9" eb="11">
      <t>トキワ</t>
    </rPh>
    <rPh sb="11" eb="12">
      <t>エン</t>
    </rPh>
    <phoneticPr fontId="1"/>
  </si>
  <si>
    <t>琴似にじのいろ保育園</t>
    <rPh sb="0" eb="2">
      <t>コトニ</t>
    </rPh>
    <rPh sb="7" eb="10">
      <t>ホイクエン</t>
    </rPh>
    <phoneticPr fontId="1"/>
  </si>
  <si>
    <t>ピッコロ子ども倶楽部発寒南駅前園</t>
    <rPh sb="15" eb="16">
      <t>エン</t>
    </rPh>
    <phoneticPr fontId="1"/>
  </si>
  <si>
    <t>山の手にじのいろ保育園</t>
    <rPh sb="8" eb="11">
      <t>ホイクエン</t>
    </rPh>
    <phoneticPr fontId="1"/>
  </si>
  <si>
    <t>山の手あすみ保育園</t>
    <rPh sb="6" eb="9">
      <t>ホイクエン</t>
    </rPh>
    <phoneticPr fontId="1"/>
  </si>
  <si>
    <t>平和あすみ保育園</t>
    <rPh sb="0" eb="2">
      <t>ヘイワ</t>
    </rPh>
    <rPh sb="5" eb="8">
      <t>ホイクエン</t>
    </rPh>
    <phoneticPr fontId="1"/>
  </si>
  <si>
    <t>平和にじのいろ保育園</t>
    <rPh sb="0" eb="2">
      <t>ヘイワ</t>
    </rPh>
    <rPh sb="7" eb="10">
      <t>ホイクエン</t>
    </rPh>
    <phoneticPr fontId="1"/>
  </si>
  <si>
    <t>ちゅうわ発寒保育園</t>
    <rPh sb="4" eb="6">
      <t>ハッサム</t>
    </rPh>
    <rPh sb="6" eb="9">
      <t>ホイクエン</t>
    </rPh>
    <phoneticPr fontId="1"/>
  </si>
  <si>
    <t>手稲桃の花保育園</t>
    <rPh sb="0" eb="2">
      <t>テイネ</t>
    </rPh>
    <rPh sb="2" eb="3">
      <t>モモ</t>
    </rPh>
    <rPh sb="4" eb="5">
      <t>ハナ</t>
    </rPh>
    <rPh sb="5" eb="8">
      <t>ホイクエン</t>
    </rPh>
    <phoneticPr fontId="1"/>
  </si>
  <si>
    <t>富丘バオバブ保育園</t>
    <rPh sb="6" eb="9">
      <t>ホイクエン</t>
    </rPh>
    <phoneticPr fontId="1"/>
  </si>
  <si>
    <t>02公設民営</t>
    <rPh sb="2" eb="6">
      <t>コウセツミンエイ</t>
    </rPh>
    <phoneticPr fontId="1"/>
  </si>
  <si>
    <t>※3　延べ利用子ども数は、1人の子どもが月4日利用した場合は4名と計算すること</t>
    <rPh sb="3" eb="4">
      <t>ノ</t>
    </rPh>
    <rPh sb="5" eb="7">
      <t>リヨウ</t>
    </rPh>
    <rPh sb="7" eb="8">
      <t>コ</t>
    </rPh>
    <rPh sb="10" eb="11">
      <t>スウ</t>
    </rPh>
    <rPh sb="14" eb="15">
      <t>ヒト</t>
    </rPh>
    <rPh sb="16" eb="17">
      <t>コ</t>
    </rPh>
    <rPh sb="20" eb="21">
      <t>ツキ</t>
    </rPh>
    <rPh sb="22" eb="23">
      <t>ニチ</t>
    </rPh>
    <rPh sb="23" eb="25">
      <t>リヨウ</t>
    </rPh>
    <rPh sb="27" eb="29">
      <t>バアイ</t>
    </rPh>
    <rPh sb="31" eb="32">
      <t>メイ</t>
    </rPh>
    <rPh sb="33" eb="35">
      <t>ケイサン</t>
    </rPh>
    <phoneticPr fontId="1"/>
  </si>
  <si>
    <t>　　「保育所分園の設置運営について」（平成10年4月9日児発第302号）に定める「保育所分園設置運営要綱」に該当する分園に適用する。</t>
    <phoneticPr fontId="1"/>
  </si>
  <si>
    <t>加算額
(月額)※</t>
    <rPh sb="0" eb="3">
      <t>カサンガク</t>
    </rPh>
    <rPh sb="5" eb="7">
      <t>ゲツガク</t>
    </rPh>
    <phoneticPr fontId="1"/>
  </si>
  <si>
    <t>③　同一法人内で複数施設又は事業を運営している場合は、別紙1-2を作成すること。なお、別紙も可能</t>
    <rPh sb="2" eb="4">
      <t>ドウイツ</t>
    </rPh>
    <rPh sb="4" eb="6">
      <t>ホウジン</t>
    </rPh>
    <rPh sb="6" eb="7">
      <t>ナイ</t>
    </rPh>
    <rPh sb="8" eb="10">
      <t>フクスウ</t>
    </rPh>
    <rPh sb="10" eb="12">
      <t>シセツ</t>
    </rPh>
    <rPh sb="12" eb="13">
      <t>マタ</t>
    </rPh>
    <rPh sb="14" eb="16">
      <t>ジギョウ</t>
    </rPh>
    <rPh sb="17" eb="19">
      <t>ウンエイ</t>
    </rPh>
    <rPh sb="23" eb="25">
      <t>バアイ</t>
    </rPh>
    <rPh sb="27" eb="29">
      <t>ベッシ</t>
    </rPh>
    <rPh sb="33" eb="35">
      <t>サクセイ</t>
    </rPh>
    <rPh sb="43" eb="45">
      <t>ベッシ</t>
    </rPh>
    <rPh sb="46" eb="48">
      <t>カノウ</t>
    </rPh>
    <phoneticPr fontId="1"/>
  </si>
  <si>
    <t>④　雇用/契約開始日：雇用（業務委託の場合は契約）開始日を記載してください。例：西暦で「○○年△月□日」の場合は「○○/△/□」</t>
    <rPh sb="2" eb="4">
      <t>コヨウ</t>
    </rPh>
    <rPh sb="5" eb="7">
      <t>ケイヤク</t>
    </rPh>
    <rPh sb="7" eb="10">
      <t>カイシビ</t>
    </rPh>
    <rPh sb="11" eb="13">
      <t>コヨウ</t>
    </rPh>
    <rPh sb="14" eb="18">
      <t>ギョウムイタク</t>
    </rPh>
    <rPh sb="19" eb="21">
      <t>バアイ</t>
    </rPh>
    <rPh sb="22" eb="24">
      <t>ケイヤク</t>
    </rPh>
    <rPh sb="25" eb="28">
      <t>カイシビ</t>
    </rPh>
    <rPh sb="29" eb="31">
      <t>キサイ</t>
    </rPh>
    <rPh sb="38" eb="39">
      <t>レイ</t>
    </rPh>
    <rPh sb="40" eb="42">
      <t>セイレキ</t>
    </rPh>
    <rPh sb="46" eb="47">
      <t>ネン</t>
    </rPh>
    <rPh sb="48" eb="49">
      <t>ガツ</t>
    </rPh>
    <rPh sb="50" eb="51">
      <t>ニチ</t>
    </rPh>
    <rPh sb="53" eb="55">
      <t>バアイ</t>
    </rPh>
    <phoneticPr fontId="1"/>
  </si>
  <si>
    <t>①　職員氏名/委託先：「業務委託」➡委託先会社名/「雇用職員」➡職員氏名を誤りなく記載してください。</t>
    <rPh sb="2" eb="4">
      <t>ショクイン</t>
    </rPh>
    <rPh sb="4" eb="6">
      <t>シメイ</t>
    </rPh>
    <rPh sb="7" eb="10">
      <t>イタクサキ</t>
    </rPh>
    <rPh sb="12" eb="16">
      <t>ギョウムイタク</t>
    </rPh>
    <rPh sb="18" eb="21">
      <t>イタクサキ</t>
    </rPh>
    <rPh sb="21" eb="24">
      <t>カイシャメイ</t>
    </rPh>
    <rPh sb="26" eb="30">
      <t>コヨウショクイン</t>
    </rPh>
    <rPh sb="32" eb="34">
      <t>ショクイン</t>
    </rPh>
    <rPh sb="34" eb="36">
      <t>シメイ</t>
    </rPh>
    <rPh sb="37" eb="38">
      <t>アヤマ</t>
    </rPh>
    <rPh sb="41" eb="43">
      <t>キサイ</t>
    </rPh>
    <phoneticPr fontId="1"/>
  </si>
  <si>
    <t>③　形態：常勤、非常勤の選択及び契約形態を選択してください。また、非常勤の場合は様式3、委託の場合は様式2でひと月の勤務時間数を記載してください。</t>
    <rPh sb="2" eb="4">
      <t>ケイタイ</t>
    </rPh>
    <rPh sb="5" eb="7">
      <t>ジョウキン</t>
    </rPh>
    <rPh sb="8" eb="11">
      <t>ヒジョウキン</t>
    </rPh>
    <rPh sb="12" eb="14">
      <t>センタク</t>
    </rPh>
    <rPh sb="14" eb="15">
      <t>オヨ</t>
    </rPh>
    <rPh sb="16" eb="20">
      <t>ケイヤクケイタイ</t>
    </rPh>
    <rPh sb="21" eb="23">
      <t>センタク</t>
    </rPh>
    <rPh sb="33" eb="36">
      <t>ヒジョウキン</t>
    </rPh>
    <rPh sb="37" eb="39">
      <t>バアイ</t>
    </rPh>
    <rPh sb="40" eb="42">
      <t>ヨウシキ</t>
    </rPh>
    <rPh sb="44" eb="46">
      <t>イタク</t>
    </rPh>
    <rPh sb="47" eb="49">
      <t>バアイ</t>
    </rPh>
    <rPh sb="50" eb="52">
      <t>ヨウシキ</t>
    </rPh>
    <rPh sb="56" eb="57">
      <t>ツキ</t>
    </rPh>
    <rPh sb="58" eb="60">
      <t>キンム</t>
    </rPh>
    <rPh sb="60" eb="62">
      <t>ジカン</t>
    </rPh>
    <rPh sb="62" eb="63">
      <t>スウ</t>
    </rPh>
    <rPh sb="64" eb="66">
      <t>キサイ</t>
    </rPh>
    <phoneticPr fontId="1"/>
  </si>
  <si>
    <t>●　業務委託</t>
    <rPh sb="2" eb="4">
      <t>ギョウム</t>
    </rPh>
    <rPh sb="4" eb="6">
      <t>イタク</t>
    </rPh>
    <phoneticPr fontId="1"/>
  </si>
  <si>
    <t>換算表</t>
    <rPh sb="0" eb="2">
      <t>カンサン</t>
    </rPh>
    <rPh sb="2" eb="3">
      <t>ヒョウ</t>
    </rPh>
    <phoneticPr fontId="3"/>
  </si>
  <si>
    <t>加配保育士等雇用促進補助金</t>
    <phoneticPr fontId="1"/>
  </si>
  <si>
    <t>時間外保育促進事業費等補助金</t>
    <rPh sb="0" eb="3">
      <t>ジカンガイ</t>
    </rPh>
    <rPh sb="3" eb="5">
      <t>ホイク</t>
    </rPh>
    <rPh sb="5" eb="7">
      <t>ソクシン</t>
    </rPh>
    <rPh sb="7" eb="9">
      <t>ジギョウ</t>
    </rPh>
    <rPh sb="9" eb="10">
      <t>ヒ</t>
    </rPh>
    <rPh sb="10" eb="11">
      <t>トウ</t>
    </rPh>
    <rPh sb="11" eb="14">
      <t>ホジョキン</t>
    </rPh>
    <phoneticPr fontId="1"/>
  </si>
  <si>
    <t>担当（通常給与で対応している分のみを計上し、超過勤務対応した分は除く）</t>
    <rPh sb="14" eb="15">
      <t>ブン</t>
    </rPh>
    <rPh sb="30" eb="31">
      <t>ブン</t>
    </rPh>
    <phoneticPr fontId="1"/>
  </si>
  <si>
    <t>通常給与で対応した分を記載</t>
    <phoneticPr fontId="1"/>
  </si>
  <si>
    <t>超過勤務で対応した分は別紙３に記載</t>
    <phoneticPr fontId="1"/>
  </si>
  <si>
    <t>確認</t>
    <rPh sb="0" eb="2">
      <t>カクニン</t>
    </rPh>
    <phoneticPr fontId="1"/>
  </si>
  <si>
    <t>施設長１名</t>
    <rPh sb="0" eb="3">
      <t>シセツチョウ</t>
    </rPh>
    <rPh sb="4" eb="5">
      <t>メイ</t>
    </rPh>
    <phoneticPr fontId="1"/>
  </si>
  <si>
    <t>子ども未来局に事前に相談・届け出ている</t>
    <rPh sb="0" eb="1">
      <t>コ</t>
    </rPh>
    <rPh sb="3" eb="6">
      <t>ミライキョク</t>
    </rPh>
    <rPh sb="7" eb="9">
      <t>ジゼン</t>
    </rPh>
    <rPh sb="10" eb="12">
      <t>ソウダン</t>
    </rPh>
    <rPh sb="13" eb="14">
      <t>トド</t>
    </rPh>
    <rPh sb="15" eb="16">
      <t>デ</t>
    </rPh>
    <phoneticPr fontId="1"/>
  </si>
  <si>
    <t>①</t>
    <phoneticPr fontId="1"/>
  </si>
  <si>
    <t>②</t>
    <phoneticPr fontId="1"/>
  </si>
  <si>
    <t>③</t>
    <phoneticPr fontId="1"/>
  </si>
  <si>
    <t>時短勤務のやむを得ない事情がある（産休明け等）</t>
    <rPh sb="0" eb="4">
      <t>ジタンキンム</t>
    </rPh>
    <rPh sb="8" eb="9">
      <t>エ</t>
    </rPh>
    <rPh sb="11" eb="13">
      <t>ジジョウ</t>
    </rPh>
    <rPh sb="17" eb="20">
      <t>サンキュウア</t>
    </rPh>
    <rPh sb="21" eb="22">
      <t>トウ</t>
    </rPh>
    <phoneticPr fontId="1"/>
  </si>
  <si>
    <t>就業規則上時短勤務を定めており、常勤と同等の給与を支給している</t>
    <rPh sb="0" eb="5">
      <t>シュウギョウキソクジョウ</t>
    </rPh>
    <rPh sb="5" eb="9">
      <t>ジタンキンム</t>
    </rPh>
    <rPh sb="10" eb="11">
      <t>サダ</t>
    </rPh>
    <rPh sb="16" eb="18">
      <t>ジョウキン</t>
    </rPh>
    <rPh sb="19" eb="21">
      <t>ドウトウ</t>
    </rPh>
    <rPh sb="22" eb="24">
      <t>キュウヨ</t>
    </rPh>
    <rPh sb="25" eb="27">
      <t>シキュウ</t>
    </rPh>
    <phoneticPr fontId="1"/>
  </si>
  <si>
    <t>※　施設長が時短勤務の場合以下の要件を全て満たしている</t>
    <rPh sb="2" eb="5">
      <t>シセツチョウ</t>
    </rPh>
    <rPh sb="6" eb="10">
      <t>ジタンキンム</t>
    </rPh>
    <rPh sb="11" eb="13">
      <t>バアイ</t>
    </rPh>
    <rPh sb="13" eb="15">
      <t>イカ</t>
    </rPh>
    <rPh sb="16" eb="18">
      <t>ヨウケン</t>
    </rPh>
    <rPh sb="19" eb="20">
      <t>スベ</t>
    </rPh>
    <rPh sb="21" eb="22">
      <t>ミ</t>
    </rPh>
    <phoneticPr fontId="1"/>
  </si>
  <si>
    <t>④　要件2の※が「○」の場合は、2‐③を明示した就業規則・給与規程の写し</t>
    <rPh sb="2" eb="4">
      <t>ヨウケン</t>
    </rPh>
    <rPh sb="12" eb="14">
      <t>バアイ</t>
    </rPh>
    <rPh sb="20" eb="22">
      <t>メイジ</t>
    </rPh>
    <rPh sb="24" eb="28">
      <t>シュウギョウキソク</t>
    </rPh>
    <rPh sb="29" eb="33">
      <t>キュウヨキテイ</t>
    </rPh>
    <rPh sb="34" eb="35">
      <t>ウツ</t>
    </rPh>
    <phoneticPr fontId="1"/>
  </si>
  <si>
    <t>所長を適切に配置している(様式5)</t>
    <rPh sb="0" eb="2">
      <t>ショチョウ</t>
    </rPh>
    <rPh sb="3" eb="5">
      <t>テキセツ</t>
    </rPh>
    <rPh sb="6" eb="8">
      <t>ハイチ</t>
    </rPh>
    <rPh sb="13" eb="15">
      <t>ヨウシキ</t>
    </rPh>
    <phoneticPr fontId="1"/>
  </si>
  <si>
    <t>⑤　様式2/様式5</t>
    <rPh sb="2" eb="4">
      <t>ヨウシキ</t>
    </rPh>
    <rPh sb="6" eb="8">
      <t>ヨウシキ</t>
    </rPh>
    <phoneticPr fontId="1"/>
  </si>
  <si>
    <t>配置者/条件</t>
    <rPh sb="0" eb="3">
      <t>ハイチシャ</t>
    </rPh>
    <rPh sb="4" eb="6">
      <t>ジョウケン</t>
    </rPh>
    <phoneticPr fontId="1"/>
  </si>
  <si>
    <t>担当時間【時間】</t>
    <rPh sb="0" eb="4">
      <t>タントウジカン</t>
    </rPh>
    <rPh sb="5" eb="7">
      <t>ジカン</t>
    </rPh>
    <phoneticPr fontId="1"/>
  </si>
  <si>
    <t>勤務時間【時間】</t>
    <rPh sb="0" eb="4">
      <t>キンムジカン</t>
    </rPh>
    <rPh sb="5" eb="7">
      <t>ジカン</t>
    </rPh>
    <phoneticPr fontId="1"/>
  </si>
  <si>
    <t>下限調整あり①</t>
    <rPh sb="0" eb="4">
      <t>カゲンチョウセイ</t>
    </rPh>
    <phoneticPr fontId="1"/>
  </si>
  <si>
    <t>-</t>
    <phoneticPr fontId="1"/>
  </si>
  <si>
    <t>高齢者活躍促進等加算
（未計上職員は3月加算申請時に対象職員にできない）</t>
    <rPh sb="0" eb="3">
      <t>コウレイシャ</t>
    </rPh>
    <rPh sb="3" eb="8">
      <t>カツヤクソクシントウ</t>
    </rPh>
    <rPh sb="8" eb="10">
      <t>カサン</t>
    </rPh>
    <rPh sb="12" eb="13">
      <t>ミ</t>
    </rPh>
    <rPh sb="19" eb="22">
      <t>ガツカサン</t>
    </rPh>
    <rPh sb="24" eb="25">
      <t>ジ</t>
    </rPh>
    <rPh sb="26" eb="30">
      <t>タイショウショクイン</t>
    </rPh>
    <phoneticPr fontId="1"/>
  </si>
  <si>
    <t>2　加算・減算・補助金等</t>
    <rPh sb="2" eb="4">
      <t>カサン</t>
    </rPh>
    <rPh sb="5" eb="7">
      <t>ゲンサン</t>
    </rPh>
    <rPh sb="8" eb="11">
      <t>ホジョキン</t>
    </rPh>
    <rPh sb="11" eb="12">
      <t>トウ</t>
    </rPh>
    <phoneticPr fontId="1"/>
  </si>
  <si>
    <t>補助金名</t>
    <rPh sb="0" eb="3">
      <t>ホジョキン</t>
    </rPh>
    <rPh sb="3" eb="4">
      <t>メイ</t>
    </rPh>
    <phoneticPr fontId="1"/>
  </si>
  <si>
    <t>担当（各補助金で計上する人件費相当を計上。ただし、通常給与で対応している分のみを計上し、超過勤務対応した分は除く）</t>
    <rPh sb="36" eb="37">
      <t>ブン</t>
    </rPh>
    <rPh sb="52" eb="53">
      <t>ブン</t>
    </rPh>
    <phoneticPr fontId="1"/>
  </si>
  <si>
    <t>4　必要職員数</t>
    <rPh sb="2" eb="4">
      <t>ヒツヨウ</t>
    </rPh>
    <rPh sb="4" eb="6">
      <t>ショクイン</t>
    </rPh>
    <rPh sb="6" eb="7">
      <t>スウ</t>
    </rPh>
    <phoneticPr fontId="1"/>
  </si>
  <si>
    <t>(3)　別紙1～7：必要に応じて入力</t>
    <rPh sb="4" eb="6">
      <t>ベッシ</t>
    </rPh>
    <rPh sb="10" eb="12">
      <t>ヒツヨウ</t>
    </rPh>
    <rPh sb="13" eb="14">
      <t>オウ</t>
    </rPh>
    <rPh sb="16" eb="18">
      <t>ニュウリョク</t>
    </rPh>
    <phoneticPr fontId="1"/>
  </si>
  <si>
    <t>(7)　様式5：初日児童数、基本配置・加算・補助金対象職員選択</t>
    <rPh sb="4" eb="6">
      <t>ヨウシキ</t>
    </rPh>
    <rPh sb="8" eb="10">
      <t>ショニチ</t>
    </rPh>
    <rPh sb="10" eb="12">
      <t>ジドウ</t>
    </rPh>
    <rPh sb="12" eb="13">
      <t>スウ</t>
    </rPh>
    <rPh sb="14" eb="16">
      <t>キホン</t>
    </rPh>
    <rPh sb="16" eb="18">
      <t>ハイチ</t>
    </rPh>
    <rPh sb="19" eb="21">
      <t>カサン</t>
    </rPh>
    <rPh sb="22" eb="25">
      <t>ホジョキン</t>
    </rPh>
    <rPh sb="25" eb="27">
      <t>タイショウ</t>
    </rPh>
    <rPh sb="27" eb="29">
      <t>ショクイン</t>
    </rPh>
    <rPh sb="29" eb="31">
      <t>センタク</t>
    </rPh>
    <phoneticPr fontId="1"/>
  </si>
  <si>
    <t>(8)　様式1：様式2～5入力後に選択できる箇所が一部あるため再度確認(チーム保育加配等)</t>
    <rPh sb="4" eb="6">
      <t>ヨウシキ</t>
    </rPh>
    <rPh sb="8" eb="10">
      <t>ヨウシキ</t>
    </rPh>
    <rPh sb="13" eb="15">
      <t>ニュウリョク</t>
    </rPh>
    <rPh sb="15" eb="16">
      <t>ゴ</t>
    </rPh>
    <rPh sb="17" eb="19">
      <t>センタク</t>
    </rPh>
    <rPh sb="22" eb="24">
      <t>カショ</t>
    </rPh>
    <rPh sb="25" eb="27">
      <t>イチブ</t>
    </rPh>
    <rPh sb="31" eb="33">
      <t>サイド</t>
    </rPh>
    <rPh sb="33" eb="35">
      <t>カクニン</t>
    </rPh>
    <rPh sb="39" eb="41">
      <t>ホイク</t>
    </rPh>
    <rPh sb="41" eb="43">
      <t>カハイ</t>
    </rPh>
    <rPh sb="43" eb="44">
      <t>トウ</t>
    </rPh>
    <phoneticPr fontId="1"/>
  </si>
  <si>
    <t>２　見直した区分</t>
    <phoneticPr fontId="1"/>
  </si>
  <si>
    <t>(0)　（前月分を作成済みの場合）ファイルをコピーして別名で保存</t>
    <rPh sb="5" eb="6">
      <t>ゼン</t>
    </rPh>
    <rPh sb="6" eb="7">
      <t>ツキ</t>
    </rPh>
    <rPh sb="7" eb="8">
      <t>ブン</t>
    </rPh>
    <rPh sb="9" eb="11">
      <t>サクセイ</t>
    </rPh>
    <rPh sb="11" eb="12">
      <t>ズ</t>
    </rPh>
    <rPh sb="14" eb="16">
      <t>バアイ</t>
    </rPh>
    <rPh sb="27" eb="29">
      <t>ベツメイ</t>
    </rPh>
    <rPh sb="30" eb="32">
      <t>ホゾン</t>
    </rPh>
    <phoneticPr fontId="1"/>
  </si>
  <si>
    <t>食事の提供に当たり、栄養士を活用してアレルギー、アトピー等への助言、食育等に関する継続的な指導を受けている(産休等で不在の場合は×)</t>
    <rPh sb="0" eb="2">
      <t>ショクジ</t>
    </rPh>
    <rPh sb="3" eb="5">
      <t>テイキョウ</t>
    </rPh>
    <rPh sb="6" eb="7">
      <t>ア</t>
    </rPh>
    <rPh sb="10" eb="13">
      <t>エイヨウシ</t>
    </rPh>
    <rPh sb="14" eb="16">
      <t>カツヨウ</t>
    </rPh>
    <rPh sb="28" eb="29">
      <t>トウ</t>
    </rPh>
    <rPh sb="31" eb="33">
      <t>ジョゲン</t>
    </rPh>
    <rPh sb="34" eb="36">
      <t>ショクイク</t>
    </rPh>
    <rPh sb="36" eb="37">
      <t>トウ</t>
    </rPh>
    <rPh sb="38" eb="39">
      <t>カン</t>
    </rPh>
    <rPh sb="41" eb="44">
      <t>ケイゾクテキ</t>
    </rPh>
    <rPh sb="45" eb="47">
      <t>シドウ</t>
    </rPh>
    <rPh sb="48" eb="49">
      <t>ウ</t>
    </rPh>
    <rPh sb="54" eb="57">
      <t>サンキュウトウ</t>
    </rPh>
    <rPh sb="58" eb="60">
      <t>フザイ</t>
    </rPh>
    <rPh sb="61" eb="63">
      <t>バアイ</t>
    </rPh>
    <phoneticPr fontId="1"/>
  </si>
  <si>
    <t>※　翌年度に実績報告を実施する</t>
    <rPh sb="2" eb="5">
      <t>ヨクネンド</t>
    </rPh>
    <rPh sb="6" eb="10">
      <t>ジッセキホウコク</t>
    </rPh>
    <rPh sb="11" eb="13">
      <t>ジッシ</t>
    </rPh>
    <phoneticPr fontId="1"/>
  </si>
  <si>
    <t>別紙６‐１（「減算：定員を恒常的に超過する場合」の添付書類）</t>
    <rPh sb="0" eb="2">
      <t>ベッシ</t>
    </rPh>
    <rPh sb="7" eb="9">
      <t>ゲンサン</t>
    </rPh>
    <rPh sb="10" eb="12">
      <t>テイイン</t>
    </rPh>
    <rPh sb="13" eb="16">
      <t>コウジョウテキ</t>
    </rPh>
    <rPh sb="17" eb="19">
      <t>チョウカ</t>
    </rPh>
    <rPh sb="21" eb="23">
      <t>バアイ</t>
    </rPh>
    <rPh sb="25" eb="27">
      <t>テンプ</t>
    </rPh>
    <rPh sb="27" eb="29">
      <t>ショルイ</t>
    </rPh>
    <phoneticPr fontId="1"/>
  </si>
  <si>
    <t>③　要件3で×を選択した場合：要件３－①～③を証明する書類</t>
    <rPh sb="2" eb="4">
      <t>ヨウケン</t>
    </rPh>
    <rPh sb="8" eb="10">
      <t>センタク</t>
    </rPh>
    <rPh sb="12" eb="14">
      <t>バアイ</t>
    </rPh>
    <rPh sb="15" eb="17">
      <t>ヨウケン</t>
    </rPh>
    <rPh sb="23" eb="25">
      <t>ショウメイ</t>
    </rPh>
    <rPh sb="27" eb="29">
      <t>ショルイ</t>
    </rPh>
    <phoneticPr fontId="1"/>
  </si>
  <si>
    <t>②　職員状況：職種区分を選択肢から選択してください。また、初日時点で有給・無給の是非を選択してください。</t>
    <rPh sb="2" eb="4">
      <t>ショクイン</t>
    </rPh>
    <rPh sb="4" eb="6">
      <t>ジョウキョウ</t>
    </rPh>
    <rPh sb="7" eb="9">
      <t>ショクシュ</t>
    </rPh>
    <rPh sb="9" eb="11">
      <t>クブン</t>
    </rPh>
    <rPh sb="12" eb="15">
      <t>センタクシ</t>
    </rPh>
    <rPh sb="17" eb="19">
      <t>センタク</t>
    </rPh>
    <rPh sb="29" eb="31">
      <t>ショニチ</t>
    </rPh>
    <rPh sb="31" eb="33">
      <t>ジテン</t>
    </rPh>
    <rPh sb="34" eb="36">
      <t>ユウキュウ</t>
    </rPh>
    <rPh sb="37" eb="39">
      <t>ムキュウ</t>
    </rPh>
    <rPh sb="40" eb="42">
      <t>ゼヒ</t>
    </rPh>
    <rPh sb="43" eb="45">
      <t>センタク</t>
    </rPh>
    <phoneticPr fontId="1"/>
  </si>
  <si>
    <t>　また、年間平均在所率が120%以上となった場合は、減算適用に従います。</t>
    <rPh sb="16" eb="18">
      <t>イジョウ</t>
    </rPh>
    <rPh sb="22" eb="24">
      <t>バアイ</t>
    </rPh>
    <phoneticPr fontId="1"/>
  </si>
  <si>
    <t>別紙２（「減算：土曜日に閉所する場合」の添付書類）</t>
    <rPh sb="0" eb="2">
      <t>ベッシ</t>
    </rPh>
    <rPh sb="5" eb="7">
      <t>ゲンサン</t>
    </rPh>
    <rPh sb="8" eb="11">
      <t>ドヨウビ</t>
    </rPh>
    <rPh sb="12" eb="14">
      <t>ヘイショ</t>
    </rPh>
    <rPh sb="16" eb="18">
      <t>バアイ</t>
    </rPh>
    <rPh sb="20" eb="22">
      <t>テンプ</t>
    </rPh>
    <rPh sb="22" eb="24">
      <t>ショルイ</t>
    </rPh>
    <phoneticPr fontId="1"/>
  </si>
  <si>
    <t>別紙３（「加算：休日保育加算」の添付書類）</t>
    <rPh sb="0" eb="2">
      <t>ベッシ</t>
    </rPh>
    <rPh sb="5" eb="7">
      <t>カサン</t>
    </rPh>
    <rPh sb="8" eb="10">
      <t>キュウジツ</t>
    </rPh>
    <rPh sb="10" eb="12">
      <t>ホイク</t>
    </rPh>
    <rPh sb="12" eb="14">
      <t>カサン</t>
    </rPh>
    <rPh sb="16" eb="18">
      <t>テンプ</t>
    </rPh>
    <rPh sb="18" eb="20">
      <t>ショルイ</t>
    </rPh>
    <phoneticPr fontId="1"/>
  </si>
  <si>
    <t>2・3号</t>
    <rPh sb="3" eb="4">
      <t>ゴウ</t>
    </rPh>
    <phoneticPr fontId="1"/>
  </si>
  <si>
    <t>01保育所</t>
    <rPh sb="2" eb="5">
      <t>ホイクショ</t>
    </rPh>
    <phoneticPr fontId="1"/>
  </si>
  <si>
    <r>
      <t>担任名(</t>
    </r>
    <r>
      <rPr>
        <b/>
        <sz val="10"/>
        <color rgb="FFFF0000"/>
        <rFont val="ＭＳ Ｐゴシック"/>
        <family val="3"/>
        <charset val="128"/>
      </rPr>
      <t>常勤専任</t>
    </r>
    <r>
      <rPr>
        <b/>
        <sz val="10"/>
        <rFont val="ＭＳ Ｐゴシック"/>
        <family val="3"/>
        <charset val="128"/>
      </rPr>
      <t>)</t>
    </r>
    <rPh sb="0" eb="2">
      <t>タンニン</t>
    </rPh>
    <rPh sb="2" eb="3">
      <t>メイ</t>
    </rPh>
    <rPh sb="4" eb="6">
      <t>ジョウキン</t>
    </rPh>
    <rPh sb="6" eb="8">
      <t>センニン</t>
    </rPh>
    <phoneticPr fontId="3"/>
  </si>
  <si>
    <t>②　事業要件のうち⑤に該当する場合、障がい児の挙証書類1点（障害児手帳、医師の診断書、札幌市障がい児保育認定通知、通所支援受給者証）。なお、該当児童1名分のみ。</t>
    <rPh sb="2" eb="4">
      <t>ジギョウ</t>
    </rPh>
    <rPh sb="4" eb="6">
      <t>ヨウケン</t>
    </rPh>
    <rPh sb="11" eb="13">
      <t>ガイトウ</t>
    </rPh>
    <rPh sb="15" eb="17">
      <t>バアイ</t>
    </rPh>
    <rPh sb="18" eb="19">
      <t>ショウ</t>
    </rPh>
    <rPh sb="21" eb="22">
      <t>ジ</t>
    </rPh>
    <rPh sb="23" eb="25">
      <t>キョショウ</t>
    </rPh>
    <rPh sb="25" eb="27">
      <t>ショルイ</t>
    </rPh>
    <rPh sb="28" eb="29">
      <t>テン</t>
    </rPh>
    <rPh sb="30" eb="32">
      <t>ショウガイ</t>
    </rPh>
    <rPh sb="32" eb="33">
      <t>ジ</t>
    </rPh>
    <rPh sb="33" eb="35">
      <t>テチョウ</t>
    </rPh>
    <rPh sb="36" eb="38">
      <t>イシ</t>
    </rPh>
    <rPh sb="39" eb="42">
      <t>シンダンショ</t>
    </rPh>
    <rPh sb="43" eb="46">
      <t>サッポロシ</t>
    </rPh>
    <rPh sb="46" eb="47">
      <t>ショウ</t>
    </rPh>
    <rPh sb="49" eb="50">
      <t>ジ</t>
    </rPh>
    <rPh sb="50" eb="52">
      <t>ホイク</t>
    </rPh>
    <rPh sb="52" eb="54">
      <t>ニンテイ</t>
    </rPh>
    <rPh sb="54" eb="56">
      <t>ツウチ</t>
    </rPh>
    <rPh sb="57" eb="59">
      <t>ツウショ</t>
    </rPh>
    <rPh sb="59" eb="61">
      <t>シエン</t>
    </rPh>
    <rPh sb="61" eb="64">
      <t>ジュキュウシャ</t>
    </rPh>
    <rPh sb="64" eb="65">
      <t>ショウ</t>
    </rPh>
    <phoneticPr fontId="1"/>
  </si>
  <si>
    <t>　保育所の用に供する建物に対する賃借料が発生している</t>
    <rPh sb="1" eb="3">
      <t>ホイク</t>
    </rPh>
    <rPh sb="3" eb="4">
      <t>ショ</t>
    </rPh>
    <rPh sb="13" eb="14">
      <t>タイ</t>
    </rPh>
    <rPh sb="16" eb="19">
      <t>チンシャクリョウ</t>
    </rPh>
    <rPh sb="20" eb="22">
      <t>ハッセイ</t>
    </rPh>
    <phoneticPr fontId="1"/>
  </si>
  <si>
    <r>
      <t xml:space="preserve">常勤・非常勤
</t>
    </r>
    <r>
      <rPr>
        <sz val="8"/>
        <rFont val="ＭＳ 明朝"/>
        <family val="1"/>
        <charset val="128"/>
      </rPr>
      <t>※時短勤務は非常勤</t>
    </r>
    <rPh sb="0" eb="2">
      <t>ジョウキン</t>
    </rPh>
    <rPh sb="3" eb="6">
      <t>ヒジョウキン</t>
    </rPh>
    <rPh sb="8" eb="10">
      <t>ジタン</t>
    </rPh>
    <rPh sb="10" eb="12">
      <t>キンム</t>
    </rPh>
    <rPh sb="13" eb="16">
      <t>ヒジョウキン</t>
    </rPh>
    <phoneticPr fontId="1"/>
  </si>
  <si>
    <t>変更</t>
    <rPh sb="0" eb="2">
      <t>ヘンコウ</t>
    </rPh>
    <phoneticPr fontId="1"/>
  </si>
  <si>
    <t>事務兼務</t>
    <rPh sb="0" eb="2">
      <t>ジム</t>
    </rPh>
    <rPh sb="2" eb="4">
      <t>ケンム</t>
    </rPh>
    <phoneticPr fontId="1"/>
  </si>
  <si>
    <t>※２　下記の選択肢から選択すること
　①：当初予定、②：新型コロナの影響がない2019年以前の参考値、③：3か年平均、④：その他</t>
    <rPh sb="3" eb="5">
      <t>カキ</t>
    </rPh>
    <rPh sb="6" eb="9">
      <t>センタクシ</t>
    </rPh>
    <rPh sb="11" eb="13">
      <t>センタク</t>
    </rPh>
    <phoneticPr fontId="1"/>
  </si>
  <si>
    <t>特例：新型コロナ感染症により利用者数が極端に減少した場合は、下記に例年の状況を入力したうえで、右記に「例年の状況（※2）」の算出方法を選択してください</t>
    <rPh sb="0" eb="2">
      <t>トクレイ</t>
    </rPh>
    <rPh sb="3" eb="5">
      <t>シンガタ</t>
    </rPh>
    <rPh sb="8" eb="11">
      <t>カンセンショウ</t>
    </rPh>
    <rPh sb="14" eb="16">
      <t>リヨウ</t>
    </rPh>
    <rPh sb="16" eb="17">
      <t>シャ</t>
    </rPh>
    <rPh sb="17" eb="18">
      <t>スウ</t>
    </rPh>
    <rPh sb="19" eb="21">
      <t>キョクタン</t>
    </rPh>
    <rPh sb="22" eb="24">
      <t>ゲンショウ</t>
    </rPh>
    <rPh sb="26" eb="28">
      <t>バアイ</t>
    </rPh>
    <rPh sb="30" eb="32">
      <t>カキ</t>
    </rPh>
    <rPh sb="33" eb="35">
      <t>レイネン</t>
    </rPh>
    <rPh sb="36" eb="38">
      <t>ジョウキョウ</t>
    </rPh>
    <rPh sb="39" eb="41">
      <t>ニュウリョク</t>
    </rPh>
    <rPh sb="47" eb="49">
      <t>ウキ</t>
    </rPh>
    <rPh sb="51" eb="53">
      <t>レイネン</t>
    </rPh>
    <rPh sb="54" eb="56">
      <t>ジョウキョウ</t>
    </rPh>
    <rPh sb="62" eb="64">
      <t>サンシュツ</t>
    </rPh>
    <rPh sb="64" eb="66">
      <t>ホウホウ</t>
    </rPh>
    <rPh sb="67" eb="69">
      <t>センタク</t>
    </rPh>
    <phoneticPr fontId="1"/>
  </si>
  <si>
    <t>-</t>
    <phoneticPr fontId="1"/>
  </si>
  <si>
    <t>※２　複数選択するとエラー。</t>
    <rPh sb="3" eb="7">
      <t>フクスウセンタク</t>
    </rPh>
    <phoneticPr fontId="1"/>
  </si>
  <si>
    <t>※１　区分は以下のとおり。</t>
    <rPh sb="3" eb="5">
      <t>クブン</t>
    </rPh>
    <rPh sb="6" eb="8">
      <t>イカ</t>
    </rPh>
    <phoneticPr fontId="1"/>
  </si>
  <si>
    <t>嘱託等により活用</t>
    <rPh sb="0" eb="3">
      <t>ショクタクトウ</t>
    </rPh>
    <rPh sb="6" eb="8">
      <t>カツヨウ</t>
    </rPh>
    <phoneticPr fontId="1"/>
  </si>
  <si>
    <t>栄養士を配置している(以下の①又は②のどちらかを選択※2)※1</t>
    <rPh sb="0" eb="3">
      <t>エイヨウシ</t>
    </rPh>
    <rPh sb="4" eb="6">
      <t>ハイチ</t>
    </rPh>
    <rPh sb="11" eb="13">
      <t>イカ</t>
    </rPh>
    <rPh sb="15" eb="16">
      <t>マタ</t>
    </rPh>
    <rPh sb="24" eb="26">
      <t>センタク</t>
    </rPh>
    <phoneticPr fontId="1"/>
  </si>
  <si>
    <t>基本配置等を超えて配置※2</t>
    <rPh sb="0" eb="2">
      <t>キホン</t>
    </rPh>
    <rPh sb="2" eb="4">
      <t>ハイチ</t>
    </rPh>
    <rPh sb="4" eb="5">
      <t>トウ</t>
    </rPh>
    <rPh sb="6" eb="7">
      <t>コ</t>
    </rPh>
    <rPh sb="9" eb="11">
      <t>ハイチ</t>
    </rPh>
    <phoneticPr fontId="1"/>
  </si>
  <si>
    <t>兼務(基本配置の調理員等を充足しない場合も含む)※2</t>
    <rPh sb="0" eb="2">
      <t>ケンム</t>
    </rPh>
    <rPh sb="3" eb="5">
      <t>キホン</t>
    </rPh>
    <rPh sb="5" eb="7">
      <t>ハイチ</t>
    </rPh>
    <rPh sb="8" eb="11">
      <t>チョウリイン</t>
    </rPh>
    <rPh sb="11" eb="12">
      <t>トウ</t>
    </rPh>
    <rPh sb="13" eb="15">
      <t>ジュウソク</t>
    </rPh>
    <rPh sb="18" eb="20">
      <t>バアイ</t>
    </rPh>
    <rPh sb="21" eb="22">
      <t>フク</t>
    </rPh>
    <phoneticPr fontId="1"/>
  </si>
  <si>
    <t>事務職員雇上費加算</t>
    <rPh sb="0" eb="2">
      <t>ジム</t>
    </rPh>
    <rPh sb="2" eb="4">
      <t>ショクイン</t>
    </rPh>
    <rPh sb="4" eb="5">
      <t>ヤトイ</t>
    </rPh>
    <rPh sb="5" eb="6">
      <t>ジョウ</t>
    </rPh>
    <rPh sb="6" eb="7">
      <t>ヒ</t>
    </rPh>
    <rPh sb="7" eb="9">
      <t>カサン</t>
    </rPh>
    <phoneticPr fontId="1"/>
  </si>
  <si>
    <t>事務職員雇上費加算</t>
    <rPh sb="0" eb="4">
      <t>ジムショクイン</t>
    </rPh>
    <rPh sb="4" eb="6">
      <t>ヤトイア</t>
    </rPh>
    <rPh sb="6" eb="7">
      <t>ヒ</t>
    </rPh>
    <rPh sb="7" eb="9">
      <t>カサン</t>
    </rPh>
    <phoneticPr fontId="1"/>
  </si>
  <si>
    <t>-</t>
    <phoneticPr fontId="1"/>
  </si>
  <si>
    <t>分園の場合（減算）</t>
    <rPh sb="0" eb="2">
      <t>ブンエン</t>
    </rPh>
    <rPh sb="3" eb="5">
      <t>バアイ</t>
    </rPh>
    <rPh sb="6" eb="8">
      <t>ゲンサン</t>
    </rPh>
    <phoneticPr fontId="1"/>
  </si>
  <si>
    <t>施設長を配置していない場合(減算）</t>
    <rPh sb="0" eb="3">
      <t>シセツチョウ</t>
    </rPh>
    <rPh sb="4" eb="6">
      <t>ハイチ</t>
    </rPh>
    <rPh sb="11" eb="13">
      <t>バアイ</t>
    </rPh>
    <rPh sb="14" eb="16">
      <t>ゲンサン</t>
    </rPh>
    <phoneticPr fontId="1"/>
  </si>
  <si>
    <t>土曜日に閉所する場合（前月分実績は備考欄に記載）(減算）</t>
    <rPh sb="0" eb="3">
      <t>ドヨウビ</t>
    </rPh>
    <rPh sb="4" eb="6">
      <t>ヘイショ</t>
    </rPh>
    <rPh sb="8" eb="10">
      <t>バアイ</t>
    </rPh>
    <rPh sb="11" eb="13">
      <t>ゼンゲツ</t>
    </rPh>
    <rPh sb="13" eb="14">
      <t>ブン</t>
    </rPh>
    <rPh sb="14" eb="16">
      <t>ジッセキ</t>
    </rPh>
    <rPh sb="17" eb="20">
      <t>ビコウラン</t>
    </rPh>
    <rPh sb="21" eb="23">
      <t>キサイ</t>
    </rPh>
    <rPh sb="25" eb="27">
      <t>ゲンサン</t>
    </rPh>
    <phoneticPr fontId="1"/>
  </si>
  <si>
    <t>定員を恒常的に超過する場合(減算）</t>
    <rPh sb="0" eb="2">
      <t>テイイン</t>
    </rPh>
    <rPh sb="3" eb="6">
      <t>コウジョウテキ</t>
    </rPh>
    <rPh sb="7" eb="9">
      <t>チョウカ</t>
    </rPh>
    <rPh sb="11" eb="13">
      <t>バアイ</t>
    </rPh>
    <rPh sb="14" eb="16">
      <t>ゲンサン</t>
    </rPh>
    <phoneticPr fontId="1"/>
  </si>
  <si>
    <t>③　以下の（1）（2）のいずれかが施設で実施されていることが分かる書面又はホームページの写し。園の掲示物の場合は掲示状況等がわかる説明文書及び写真を添付すること。
（1）障がい児・相談支援に係る給付事業(※)への連携により専門性の強化・障がい支援充実
　相談票や事務分掌表、パンフレット等により、※の支援施策との連携・接続が明示されていること。年度内に実施が予定されている場合は、年度当初から実施されているものみなす
　※　通所系(児童発達支援、医療型児童発達支援、放課後等デイサービス)、訪問系(保育所等訪問支援)、入所系(福祉型障害児入所施設、医療型障害児入所施設）、相談支援系（計画相談支援、障害児相談支援）
（2）障がい児に係る子育て等に関する相談・援助
　園外の障がい児童等も受け付けていることが明示されていること。また、加算対象月初日から受付けていることが明示されていること</t>
    <phoneticPr fontId="1"/>
  </si>
  <si>
    <t>3：1</t>
    <phoneticPr fontId="1"/>
  </si>
  <si>
    <t>6：1</t>
    <phoneticPr fontId="1"/>
  </si>
  <si>
    <t>20：1</t>
    <phoneticPr fontId="1"/>
  </si>
  <si>
    <t>30：1</t>
    <phoneticPr fontId="1"/>
  </si>
  <si>
    <t>配置基準</t>
    <rPh sb="0" eb="4">
      <t>ハイチキジュン</t>
    </rPh>
    <phoneticPr fontId="1"/>
  </si>
  <si>
    <t>名</t>
    <rPh sb="0" eb="1">
      <t>メイ</t>
    </rPh>
    <phoneticPr fontId="1"/>
  </si>
  <si>
    <t>必要職員数</t>
    <rPh sb="0" eb="2">
      <t>ヒツヨウ</t>
    </rPh>
    <rPh sb="2" eb="5">
      <t>ショクインスウ</t>
    </rPh>
    <phoneticPr fontId="1"/>
  </si>
  <si>
    <t>給食
（間食）</t>
    <rPh sb="0" eb="2">
      <t>キュウショク</t>
    </rPh>
    <rPh sb="4" eb="6">
      <t>カンショク</t>
    </rPh>
    <phoneticPr fontId="1"/>
  </si>
  <si>
    <t>延べ利用子ども数（見込）の年齢及び人数に応じて保育士を配置している</t>
    <rPh sb="0" eb="1">
      <t>ノ</t>
    </rPh>
    <rPh sb="2" eb="4">
      <t>リヨウ</t>
    </rPh>
    <rPh sb="4" eb="5">
      <t>コ</t>
    </rPh>
    <rPh sb="7" eb="8">
      <t>スウ</t>
    </rPh>
    <rPh sb="9" eb="11">
      <t>ミコ</t>
    </rPh>
    <phoneticPr fontId="1"/>
  </si>
  <si>
    <t>通常給与対応分</t>
    <rPh sb="0" eb="4">
      <t>ツウジョウキュウヨ</t>
    </rPh>
    <rPh sb="4" eb="6">
      <t>タイオウ</t>
    </rPh>
    <rPh sb="6" eb="7">
      <t>ブン</t>
    </rPh>
    <phoneticPr fontId="1"/>
  </si>
  <si>
    <t>超過勤務対応分</t>
    <rPh sb="0" eb="4">
      <t>チョウカキンム</t>
    </rPh>
    <rPh sb="4" eb="6">
      <t>タイオウ</t>
    </rPh>
    <rPh sb="6" eb="7">
      <t>ブン</t>
    </rPh>
    <phoneticPr fontId="1"/>
  </si>
  <si>
    <t>名</t>
    <rPh sb="0" eb="1">
      <t>メイ</t>
    </rPh>
    <phoneticPr fontId="1"/>
  </si>
  <si>
    <t>配置職員
（常勤換算数）</t>
    <rPh sb="0" eb="2">
      <t>ハイチ</t>
    </rPh>
    <rPh sb="2" eb="4">
      <t>ショクイン</t>
    </rPh>
    <rPh sb="6" eb="11">
      <t>ジョウキンカンサンスウ</t>
    </rPh>
    <phoneticPr fontId="1"/>
  </si>
  <si>
    <t>様式５より引用</t>
    <rPh sb="0" eb="2">
      <t>ヨウシキ</t>
    </rPh>
    <rPh sb="5" eb="7">
      <t>インヨウ</t>
    </rPh>
    <phoneticPr fontId="1"/>
  </si>
  <si>
    <t>配置職員（通常給与による対応）</t>
    <rPh sb="0" eb="4">
      <t>ハイチショクイン</t>
    </rPh>
    <rPh sb="5" eb="9">
      <t>ツウジョウキュウヨ</t>
    </rPh>
    <rPh sb="12" eb="14">
      <t>タイオウ</t>
    </rPh>
    <phoneticPr fontId="1"/>
  </si>
  <si>
    <t>常勤換算数</t>
    <rPh sb="0" eb="4">
      <t>ジョウキンカンサン</t>
    </rPh>
    <rPh sb="4" eb="5">
      <t>スウ</t>
    </rPh>
    <phoneticPr fontId="1"/>
  </si>
  <si>
    <t>（ア）</t>
    <phoneticPr fontId="1"/>
  </si>
  <si>
    <t>（イ）</t>
    <phoneticPr fontId="1"/>
  </si>
  <si>
    <t>配置職員（超過勤務による対応）</t>
    <rPh sb="0" eb="4">
      <t>ハイチショクイン</t>
    </rPh>
    <rPh sb="5" eb="9">
      <t>チョウカキンム</t>
    </rPh>
    <rPh sb="12" eb="14">
      <t>タイオウ</t>
    </rPh>
    <phoneticPr fontId="1"/>
  </si>
  <si>
    <t>前年度延べ利用子ども数※3、4、5（実績）</t>
    <phoneticPr fontId="1"/>
  </si>
  <si>
    <t>前年度実績によらない場合は理由を記載※6</t>
    <rPh sb="3" eb="5">
      <t>ジッセキ</t>
    </rPh>
    <rPh sb="10" eb="12">
      <t>バアイ</t>
    </rPh>
    <rPh sb="13" eb="15">
      <t>リユウ</t>
    </rPh>
    <rPh sb="16" eb="18">
      <t>キサイ</t>
    </rPh>
    <phoneticPr fontId="1"/>
  </si>
  <si>
    <t>※6　前年度の平均人数や、一昨年以前の実績を元に算出することとし、今年度の申込状況等に応じた見込とすることはできない</t>
    <rPh sb="3" eb="6">
      <t>ゼンネンド</t>
    </rPh>
    <rPh sb="7" eb="9">
      <t>ヘイキン</t>
    </rPh>
    <rPh sb="9" eb="11">
      <t>ニンズウ</t>
    </rPh>
    <rPh sb="13" eb="16">
      <t>イッサクネン</t>
    </rPh>
    <rPh sb="16" eb="18">
      <t>イゼン</t>
    </rPh>
    <rPh sb="19" eb="21">
      <t>ジッセキ</t>
    </rPh>
    <rPh sb="22" eb="23">
      <t>モト</t>
    </rPh>
    <rPh sb="24" eb="26">
      <t>サンシュツ</t>
    </rPh>
    <rPh sb="33" eb="36">
      <t>コンネンド</t>
    </rPh>
    <rPh sb="37" eb="38">
      <t>モウ</t>
    </rPh>
    <rPh sb="38" eb="39">
      <t>コ</t>
    </rPh>
    <rPh sb="39" eb="41">
      <t>ジョウキョウ</t>
    </rPh>
    <rPh sb="41" eb="42">
      <t>トウ</t>
    </rPh>
    <rPh sb="43" eb="44">
      <t>オウ</t>
    </rPh>
    <rPh sb="46" eb="48">
      <t>ミコミ</t>
    </rPh>
    <phoneticPr fontId="1"/>
  </si>
  <si>
    <t>①　別紙３/様式５（毎月作成）</t>
    <rPh sb="2" eb="4">
      <t>ベッシ</t>
    </rPh>
    <rPh sb="6" eb="8">
      <t>ヨウシキ</t>
    </rPh>
    <rPh sb="10" eb="12">
      <t>マイツキ</t>
    </rPh>
    <rPh sb="12" eb="14">
      <t>サクセイ</t>
    </rPh>
    <phoneticPr fontId="1"/>
  </si>
  <si>
    <t>当年度延べ利用子ども数※3、4、5（見込）
（直接入力可能）</t>
    <rPh sb="0" eb="3">
      <t>トウネンド</t>
    </rPh>
    <rPh sb="3" eb="4">
      <t>ノ</t>
    </rPh>
    <rPh sb="18" eb="20">
      <t>ミコミ</t>
    </rPh>
    <rPh sb="23" eb="27">
      <t>チョクセツニュウリョク</t>
    </rPh>
    <rPh sb="27" eb="29">
      <t>カノウ</t>
    </rPh>
    <phoneticPr fontId="1"/>
  </si>
  <si>
    <t>エラー：延べ利用子ども数（見込）を個票と一致させてください。</t>
    <rPh sb="4" eb="5">
      <t>ノ</t>
    </rPh>
    <rPh sb="6" eb="9">
      <t>リヨウコ</t>
    </rPh>
    <rPh sb="11" eb="12">
      <t>スウ</t>
    </rPh>
    <rPh sb="13" eb="15">
      <t>ミコ</t>
    </rPh>
    <rPh sb="17" eb="19">
      <t>コヒョウ</t>
    </rPh>
    <rPh sb="20" eb="22">
      <t>イッチ</t>
    </rPh>
    <phoneticPr fontId="1"/>
  </si>
  <si>
    <t>※必要職員数の下限は0.5名です。</t>
    <rPh sb="1" eb="5">
      <t>ヒツヨウショクイン</t>
    </rPh>
    <rPh sb="5" eb="6">
      <t>スウ</t>
    </rPh>
    <rPh sb="7" eb="9">
      <t>カゲン</t>
    </rPh>
    <rPh sb="13" eb="14">
      <t>メイ</t>
    </rPh>
    <phoneticPr fontId="1"/>
  </si>
  <si>
    <t xml:space="preserve"> 加算要件
(１～2の要件全てに該当し、かつ下記の利用児童数表を適切に記載した場合に加算)</t>
    <rPh sb="1" eb="3">
      <t>カサン</t>
    </rPh>
    <rPh sb="3" eb="5">
      <t>ヨウケン</t>
    </rPh>
    <rPh sb="23" eb="24">
      <t>シタ</t>
    </rPh>
    <rPh sb="24" eb="25">
      <t>キ</t>
    </rPh>
    <rPh sb="26" eb="28">
      <t>リヨウ</t>
    </rPh>
    <rPh sb="28" eb="30">
      <t>ジドウ</t>
    </rPh>
    <rPh sb="30" eb="31">
      <t>スウ</t>
    </rPh>
    <rPh sb="31" eb="32">
      <t>ヒョウ</t>
    </rPh>
    <rPh sb="33" eb="35">
      <t>テキセツ</t>
    </rPh>
    <rPh sb="36" eb="38">
      <t>キサイ</t>
    </rPh>
    <phoneticPr fontId="1"/>
  </si>
  <si>
    <t>年間見込</t>
    <rPh sb="0" eb="2">
      <t>ネンカン</t>
    </rPh>
    <rPh sb="2" eb="4">
      <t>ミコミ</t>
    </rPh>
    <phoneticPr fontId="1"/>
  </si>
  <si>
    <t>対象子ども※2の年齢及び人数に応じて保育士を配置し、実施体制を整備している（別紙3）</t>
    <rPh sb="18" eb="21">
      <t>ホイクシ</t>
    </rPh>
    <rPh sb="22" eb="24">
      <t>ハイチ</t>
    </rPh>
    <rPh sb="26" eb="28">
      <t>ジッシ</t>
    </rPh>
    <phoneticPr fontId="1"/>
  </si>
  <si>
    <r>
      <t>　毎月分作成する必要があります。また、前月実績の区分が変更となった場合は、</t>
    </r>
    <r>
      <rPr>
        <b/>
        <u/>
        <sz val="10"/>
        <color rgb="FFFF0000"/>
        <rFont val="ＭＳ 明朝"/>
        <family val="1"/>
        <charset val="128"/>
      </rPr>
      <t>前月に遡及して減算を適用</t>
    </r>
    <r>
      <rPr>
        <sz val="10"/>
        <color rgb="FFFF0000"/>
        <rFont val="ＭＳ 明朝"/>
        <family val="1"/>
        <charset val="128"/>
      </rPr>
      <t>します。</t>
    </r>
    <rPh sb="4" eb="6">
      <t>サクセイ</t>
    </rPh>
    <rPh sb="19" eb="21">
      <t>ゼンゲツ</t>
    </rPh>
    <rPh sb="37" eb="39">
      <t>ゼンゲツ</t>
    </rPh>
    <phoneticPr fontId="1"/>
  </si>
  <si>
    <t>　毎月分作成する必要があります。</t>
    <rPh sb="4" eb="6">
      <t>サクセイ</t>
    </rPh>
    <phoneticPr fontId="1"/>
  </si>
  <si>
    <t>※土曜日</t>
    <rPh sb="1" eb="4">
      <t>ドヨウビ</t>
    </rPh>
    <phoneticPr fontId="1"/>
  </si>
  <si>
    <t>各月見込</t>
    <rPh sb="0" eb="4">
      <t>カクツキミコミ</t>
    </rPh>
    <phoneticPr fontId="1"/>
  </si>
  <si>
    <t>今月は</t>
    <rPh sb="0" eb="2">
      <t>コンゲツ</t>
    </rPh>
    <phoneticPr fontId="1"/>
  </si>
  <si>
    <t>【作成要領・提出書類チェック表】</t>
    <rPh sb="1" eb="3">
      <t>サクセイ</t>
    </rPh>
    <rPh sb="3" eb="5">
      <t>ヨウリョウ</t>
    </rPh>
    <rPh sb="6" eb="8">
      <t>テイシュツ</t>
    </rPh>
    <rPh sb="8" eb="10">
      <t>ショルイ</t>
    </rPh>
    <rPh sb="14" eb="15">
      <t>ヒョウ</t>
    </rPh>
    <phoneticPr fontId="3"/>
  </si>
  <si>
    <t>黄色</t>
    <rPh sb="0" eb="2">
      <t>キイロ</t>
    </rPh>
    <phoneticPr fontId="3"/>
  </si>
  <si>
    <t>直接手入力してください。</t>
    <rPh sb="0" eb="2">
      <t>チョクセツ</t>
    </rPh>
    <rPh sb="2" eb="3">
      <t>テ</t>
    </rPh>
    <rPh sb="3" eb="5">
      <t>ニュウリョク</t>
    </rPh>
    <phoneticPr fontId="3"/>
  </si>
  <si>
    <t>水色</t>
    <rPh sb="0" eb="2">
      <t>ミズイロ</t>
    </rPh>
    <phoneticPr fontId="3"/>
  </si>
  <si>
    <t>札幌市で入力済の内容です。変更がある場合は、申し出ください。</t>
    <rPh sb="0" eb="3">
      <t>サッポロシ</t>
    </rPh>
    <rPh sb="4" eb="6">
      <t>ニュウリョク</t>
    </rPh>
    <rPh sb="6" eb="7">
      <t>スミ</t>
    </rPh>
    <rPh sb="8" eb="10">
      <t>ナイヨウ</t>
    </rPh>
    <rPh sb="13" eb="15">
      <t>ヘンコウ</t>
    </rPh>
    <rPh sb="18" eb="20">
      <t>バアイ</t>
    </rPh>
    <rPh sb="22" eb="23">
      <t>モウ</t>
    </rPh>
    <rPh sb="24" eb="25">
      <t>デ</t>
    </rPh>
    <phoneticPr fontId="3"/>
  </si>
  <si>
    <t>白色</t>
    <rPh sb="0" eb="1">
      <t>シロ</t>
    </rPh>
    <rPh sb="1" eb="2">
      <t>イロ</t>
    </rPh>
    <phoneticPr fontId="3"/>
  </si>
  <si>
    <t>【提出方法】</t>
    <rPh sb="1" eb="5">
      <t>テイシュツホウホウ</t>
    </rPh>
    <phoneticPr fontId="3"/>
  </si>
  <si>
    <t>アドレス</t>
    <phoneticPr fontId="3"/>
  </si>
  <si>
    <t>メール件名</t>
    <rPh sb="3" eb="5">
      <t>ケンメイ</t>
    </rPh>
    <phoneticPr fontId="3"/>
  </si>
  <si>
    <t>パスワード</t>
    <phoneticPr fontId="3"/>
  </si>
  <si>
    <t>29hoiku86</t>
    <phoneticPr fontId="77"/>
  </si>
  <si>
    <t>〒060-0051</t>
    <phoneticPr fontId="77"/>
  </si>
  <si>
    <t>札幌市中央区南１条東１丁目　大通バスセンタービル３階</t>
    <phoneticPr fontId="77"/>
  </si>
  <si>
    <t>【お問い合わせについて】</t>
    <rPh sb="2" eb="3">
      <t>ト</t>
    </rPh>
    <rPh sb="4" eb="5">
      <t>ア</t>
    </rPh>
    <phoneticPr fontId="3"/>
  </si>
  <si>
    <t>メールでのお問い合わせにご協力ください。（様式の入力がうまくいかない等、データをこちらで確認する必要がある場合はデータも添付してください。）</t>
    <rPh sb="6" eb="7">
      <t>ト</t>
    </rPh>
    <rPh sb="8" eb="9">
      <t>ア</t>
    </rPh>
    <rPh sb="13" eb="15">
      <t>キョウリョク</t>
    </rPh>
    <rPh sb="21" eb="23">
      <t>ヨウシキ</t>
    </rPh>
    <rPh sb="24" eb="26">
      <t>ニュウリョク</t>
    </rPh>
    <rPh sb="34" eb="35">
      <t>トウ</t>
    </rPh>
    <rPh sb="44" eb="46">
      <t>カクニン</t>
    </rPh>
    <rPh sb="48" eb="50">
      <t>ヒツヨウ</t>
    </rPh>
    <rPh sb="53" eb="55">
      <t>バアイ</t>
    </rPh>
    <rPh sb="60" eb="62">
      <t>テンプ</t>
    </rPh>
    <phoneticPr fontId="77"/>
  </si>
  <si>
    <t>アドレス</t>
  </si>
  <si>
    <t>kyufuhi@city.sapporo.jp</t>
    <phoneticPr fontId="77"/>
  </si>
  <si>
    <t>子ども未来局子育て支援部施設運営課給付係　　TEL 011-211-3027</t>
    <rPh sb="6" eb="8">
      <t>コソダ</t>
    </rPh>
    <rPh sb="9" eb="11">
      <t>シエン</t>
    </rPh>
    <rPh sb="12" eb="14">
      <t>シセツ</t>
    </rPh>
    <rPh sb="14" eb="16">
      <t>ウンエイ</t>
    </rPh>
    <rPh sb="16" eb="17">
      <t>カ</t>
    </rPh>
    <phoneticPr fontId="77"/>
  </si>
  <si>
    <t>橙色</t>
    <rPh sb="0" eb="2">
      <t>ダイダイイロ</t>
    </rPh>
    <phoneticPr fontId="1"/>
  </si>
  <si>
    <t>入力不可</t>
    <rPh sb="0" eb="4">
      <t>ニュウリョクフカ</t>
    </rPh>
    <phoneticPr fontId="1"/>
  </si>
  <si>
    <t>ドロップダウンで選択。</t>
    <rPh sb="8" eb="10">
      <t>センタク</t>
    </rPh>
    <phoneticPr fontId="1"/>
  </si>
  <si>
    <t>【作成にあたって】</t>
    <rPh sb="1" eb="3">
      <t>サクセイ</t>
    </rPh>
    <phoneticPr fontId="3"/>
  </si>
  <si>
    <t>項目</t>
    <rPh sb="0" eb="2">
      <t>コウモク</t>
    </rPh>
    <phoneticPr fontId="3"/>
  </si>
  <si>
    <t>作成ソフト</t>
    <rPh sb="0" eb="2">
      <t>サクセイ</t>
    </rPh>
    <phoneticPr fontId="3"/>
  </si>
  <si>
    <t>　本様式はExcel2016（Microsoft社）で作成しておりますので、Excel2016以降での作成を推奨します。このため、Excel2016未満のバージョン（2010、2003等）及びMicrosoft社製以外の表計算ソフト（Kingsoft、Numbers等）での動作は保証いたしません。</t>
    <phoneticPr fontId="1"/>
  </si>
  <si>
    <t>作成手順</t>
    <rPh sb="0" eb="4">
      <t>サクセイテジュン</t>
    </rPh>
    <phoneticPr fontId="3"/>
  </si>
  <si>
    <t>説明</t>
    <rPh sb="0" eb="2">
      <t>セツメイ</t>
    </rPh>
    <phoneticPr fontId="77"/>
  </si>
  <si>
    <t>参考資料</t>
    <rPh sb="0" eb="4">
      <t>サンコウシリョウ</t>
    </rPh>
    <phoneticPr fontId="1"/>
  </si>
  <si>
    <t xml:space="preserve"> ・　様式内の「作成方法」シート、各シート印刷範囲外の説明書き</t>
  </si>
  <si>
    <t xml:space="preserve"> ・　依頼文　（各月分の申請期限はこちらでご確認ください。）</t>
    <rPh sb="3" eb="6">
      <t>イライブン</t>
    </rPh>
    <rPh sb="8" eb="11">
      <t>カクツキブン</t>
    </rPh>
    <rPh sb="12" eb="14">
      <t>シンセイ</t>
    </rPh>
    <rPh sb="14" eb="16">
      <t>キゲン</t>
    </rPh>
    <rPh sb="22" eb="24">
      <t>カクニン</t>
    </rPh>
    <phoneticPr fontId="1"/>
  </si>
  <si>
    <t xml:space="preserve"> ・　加算・調整項目申請書作成要領　（依頼時に送付）</t>
    <rPh sb="19" eb="22">
      <t>イライジ</t>
    </rPh>
    <rPh sb="23" eb="25">
      <t>ソウフ</t>
    </rPh>
    <phoneticPr fontId="1"/>
  </si>
  <si>
    <r>
      <rPr>
        <b/>
        <sz val="12"/>
        <color rgb="FFFF0000"/>
        <rFont val="ＭＳ ゴシック"/>
        <family val="3"/>
        <charset val="128"/>
      </rPr>
      <t>←</t>
    </r>
    <r>
      <rPr>
        <b/>
        <sz val="12"/>
        <rFont val="ＭＳ ゴシック"/>
        <family val="3"/>
        <charset val="128"/>
      </rPr>
      <t>「【別添】添付書類の表紙」を付けて郵送してください。</t>
    </r>
    <rPh sb="3" eb="5">
      <t>ベッテン</t>
    </rPh>
    <rPh sb="6" eb="10">
      <t>テンプショルイ</t>
    </rPh>
    <rPh sb="11" eb="13">
      <t>ヒョウシ</t>
    </rPh>
    <rPh sb="15" eb="16">
      <t>ツ</t>
    </rPh>
    <rPh sb="18" eb="20">
      <t>ユウソウ</t>
    </rPh>
    <phoneticPr fontId="77"/>
  </si>
  <si>
    <t>　（右隣のシート）</t>
    <rPh sb="2" eb="4">
      <t>ミギドナリ</t>
    </rPh>
    <phoneticPr fontId="1"/>
  </si>
  <si>
    <t>＜添付書類 郵送先＞</t>
    <rPh sb="1" eb="5">
      <t>テンプショルイ</t>
    </rPh>
    <rPh sb="6" eb="9">
      <t>ユウソウサキ</t>
    </rPh>
    <phoneticPr fontId="77"/>
  </si>
  <si>
    <t>＜Excelデータ 提出先＞</t>
    <rPh sb="10" eb="12">
      <t>テイシュツ</t>
    </rPh>
    <rPh sb="12" eb="13">
      <t>サキ</t>
    </rPh>
    <phoneticPr fontId="77"/>
  </si>
  <si>
    <r>
      <rPr>
        <b/>
        <sz val="12"/>
        <color rgb="FFFF0000"/>
        <rFont val="ＭＳ ゴシック"/>
        <family val="3"/>
        <charset val="128"/>
      </rPr>
      <t xml:space="preserve">← </t>
    </r>
    <r>
      <rPr>
        <b/>
        <sz val="12"/>
        <rFont val="ＭＳ ゴシック"/>
        <family val="3"/>
        <charset val="128"/>
      </rPr>
      <t>Excelデータをこちらのパスワードで</t>
    </r>
    <phoneticPr fontId="77"/>
  </si>
  <si>
    <t>　 zipファイル化して、メールに添付してください。</t>
    <phoneticPr fontId="77"/>
  </si>
  <si>
    <r>
      <t>←</t>
    </r>
    <r>
      <rPr>
        <sz val="12"/>
        <color rgb="FFFF0000"/>
        <rFont val="ＭＳ ゴシック"/>
        <family val="3"/>
        <charset val="128"/>
      </rPr>
      <t>（【様式１】で園名を選ぶと反映）</t>
    </r>
    <phoneticPr fontId="77"/>
  </si>
  <si>
    <t>光塩大通り保育園</t>
  </si>
  <si>
    <t>木育こどもの家宮の森保育園</t>
  </si>
  <si>
    <t>アイグラン保育園北陽</t>
    <rPh sb="5" eb="8">
      <t>ホイクエン</t>
    </rPh>
    <rPh sb="8" eb="10">
      <t>ホクヨウ</t>
    </rPh>
    <phoneticPr fontId="1"/>
  </si>
  <si>
    <t>アイグラン保育園拓北</t>
    <rPh sb="5" eb="8">
      <t>ホイクエン</t>
    </rPh>
    <rPh sb="8" eb="10">
      <t>タクホク</t>
    </rPh>
    <phoneticPr fontId="1"/>
  </si>
  <si>
    <t>元気っ子保育園・屯田南</t>
    <rPh sb="0" eb="2">
      <t>ゲンキ</t>
    </rPh>
    <rPh sb="3" eb="4">
      <t>コ</t>
    </rPh>
    <rPh sb="4" eb="7">
      <t>ホイクエン</t>
    </rPh>
    <rPh sb="8" eb="10">
      <t>トンデン</t>
    </rPh>
    <rPh sb="10" eb="11">
      <t>ミナミ</t>
    </rPh>
    <phoneticPr fontId="1"/>
  </si>
  <si>
    <t>屯田南保育園</t>
  </si>
  <si>
    <t>ラブクローバーの保育園札幌北野</t>
    <rPh sb="8" eb="11">
      <t>ホイクエン</t>
    </rPh>
    <rPh sb="11" eb="13">
      <t>サッポロ</t>
    </rPh>
    <rPh sb="13" eb="15">
      <t>キタノ</t>
    </rPh>
    <phoneticPr fontId="1"/>
  </si>
  <si>
    <t>緑ヶ丘保育園</t>
  </si>
  <si>
    <t>ちびっこの杜保育園</t>
    <rPh sb="5" eb="6">
      <t>モリ</t>
    </rPh>
    <rPh sb="6" eb="8">
      <t>ホイク</t>
    </rPh>
    <rPh sb="8" eb="9">
      <t>エン</t>
    </rPh>
    <phoneticPr fontId="1"/>
  </si>
  <si>
    <t>ラブクローバーの保育園札幌西野</t>
  </si>
  <si>
    <t>スター保育園前田園</t>
  </si>
  <si>
    <t>新発寒みつばち保育園</t>
    <rPh sb="0" eb="3">
      <t>シンハッサム</t>
    </rPh>
    <rPh sb="7" eb="10">
      <t>ホイクエン</t>
    </rPh>
    <phoneticPr fontId="2"/>
  </si>
  <si>
    <t>＜様式１＞
チーム保育加算の単価を令和４年度分に更新。
＜様式５＞
職員算出表の職種別調整箇所の非表示。</t>
    <phoneticPr fontId="1"/>
  </si>
  <si>
    <t>×</t>
  </si>
  <si>
    <t>加配人数</t>
    <rPh sb="0" eb="2">
      <t>カハイ</t>
    </rPh>
    <rPh sb="2" eb="4">
      <t>ニンズウ</t>
    </rPh>
    <phoneticPr fontId="1"/>
  </si>
  <si>
    <t>増員した人数※→</t>
    <phoneticPr fontId="1"/>
  </si>
  <si>
    <t>加配人数の上限→</t>
    <rPh sb="0" eb="4">
      <t>カハイニンズウ</t>
    </rPh>
    <rPh sb="5" eb="7">
      <t>ジョウゲン</t>
    </rPh>
    <phoneticPr fontId="1"/>
  </si>
  <si>
    <t>提出日</t>
    <rPh sb="0" eb="2">
      <t>テイシュツ</t>
    </rPh>
    <rPh sb="2" eb="3">
      <t>ビ</t>
    </rPh>
    <phoneticPr fontId="1"/>
  </si>
  <si>
    <t>１日</t>
    <rPh sb="1" eb="2">
      <t>ニチ</t>
    </rPh>
    <phoneticPr fontId="1"/>
  </si>
  <si>
    <t>２日</t>
    <rPh sb="1" eb="2">
      <t>ニチ</t>
    </rPh>
    <phoneticPr fontId="1"/>
  </si>
  <si>
    <t>３日以上</t>
    <rPh sb="1" eb="4">
      <t>ニチイジョウ</t>
    </rPh>
    <phoneticPr fontId="1"/>
  </si>
  <si>
    <t>17　処遇改善等加算Ⅲ</t>
    <phoneticPr fontId="1"/>
  </si>
  <si>
    <t>18　栄養管理加算</t>
    <rPh sb="3" eb="5">
      <t>エイヨウ</t>
    </rPh>
    <rPh sb="5" eb="7">
      <t>カンリ</t>
    </rPh>
    <rPh sb="7" eb="9">
      <t>カサン</t>
    </rPh>
    <phoneticPr fontId="1"/>
  </si>
  <si>
    <t>処遇改善等加算Ⅲ</t>
    <rPh sb="0" eb="2">
      <t>ショグウ</t>
    </rPh>
    <rPh sb="2" eb="4">
      <t>カイゼン</t>
    </rPh>
    <rPh sb="4" eb="5">
      <t>トウ</t>
    </rPh>
    <rPh sb="5" eb="7">
      <t>カサン</t>
    </rPh>
    <phoneticPr fontId="1"/>
  </si>
  <si>
    <t>にこまるえん円山</t>
    <rPh sb="6" eb="8">
      <t>マルヤマ</t>
    </rPh>
    <phoneticPr fontId="1"/>
  </si>
  <si>
    <t>藻岩そらいろ保育園</t>
    <rPh sb="0" eb="2">
      <t>モイワ</t>
    </rPh>
    <rPh sb="6" eb="9">
      <t>ホイクエン</t>
    </rPh>
    <phoneticPr fontId="1"/>
  </si>
  <si>
    <t>木育こどもの家南の沢保育園</t>
    <rPh sb="0" eb="1">
      <t>モク</t>
    </rPh>
    <rPh sb="1" eb="2">
      <t>イク</t>
    </rPh>
    <rPh sb="6" eb="7">
      <t>イエ</t>
    </rPh>
    <rPh sb="7" eb="8">
      <t>ミナミ</t>
    </rPh>
    <rPh sb="9" eb="10">
      <t>サワ</t>
    </rPh>
    <rPh sb="10" eb="13">
      <t>ホイクエン</t>
    </rPh>
    <phoneticPr fontId="7"/>
  </si>
  <si>
    <t>ピッコロ子ども倶楽部
福井保育園</t>
  </si>
  <si>
    <t>手稲みつばち保育園</t>
    <rPh sb="0" eb="2">
      <t>テイネ</t>
    </rPh>
    <rPh sb="6" eb="9">
      <t>ホイクエン</t>
    </rPh>
    <phoneticPr fontId="1"/>
  </si>
  <si>
    <t>手稲中央さら～れ保育園</t>
    <rPh sb="0" eb="2">
      <t>テイネ</t>
    </rPh>
    <rPh sb="2" eb="4">
      <t>チュウオウ</t>
    </rPh>
    <rPh sb="8" eb="11">
      <t>ホイクエン</t>
    </rPh>
    <phoneticPr fontId="1"/>
  </si>
  <si>
    <t>01保育所</t>
    <phoneticPr fontId="1"/>
  </si>
  <si>
    <t>申請人数</t>
    <rPh sb="0" eb="2">
      <t>シンセイ</t>
    </rPh>
    <rPh sb="2" eb="4">
      <t>ニンズウ</t>
    </rPh>
    <phoneticPr fontId="1"/>
  </si>
  <si>
    <t>(2) (1)を端数処理（※①）</t>
    <rPh sb="8" eb="10">
      <t>ハスウ</t>
    </rPh>
    <rPh sb="10" eb="12">
      <t>ショリ</t>
    </rPh>
    <phoneticPr fontId="1"/>
  </si>
  <si>
    <t>(3) チーム保育加配加算の上限人数（※②）</t>
    <rPh sb="7" eb="9">
      <t>ホイク</t>
    </rPh>
    <rPh sb="9" eb="11">
      <t>カハイ</t>
    </rPh>
    <rPh sb="11" eb="13">
      <t>カサン</t>
    </rPh>
    <rPh sb="14" eb="16">
      <t>ジョウゲン</t>
    </rPh>
    <rPh sb="16" eb="18">
      <t>ニンズウ</t>
    </rPh>
    <phoneticPr fontId="1"/>
  </si>
  <si>
    <t>(4) 加算対象職員数：(2)と(3)のうち小さい方</t>
    <rPh sb="22" eb="23">
      <t>チイ</t>
    </rPh>
    <rPh sb="25" eb="26">
      <t>ホウ</t>
    </rPh>
    <phoneticPr fontId="1"/>
  </si>
  <si>
    <t>(1) ア-イ</t>
    <phoneticPr fontId="1"/>
  </si>
  <si>
    <t>チーム保育推進加算を除外した必要数…イ</t>
    <rPh sb="5" eb="7">
      <t>スイシン</t>
    </rPh>
    <phoneticPr fontId="1"/>
  </si>
  <si>
    <t>チーム保育</t>
    <rPh sb="3" eb="5">
      <t>ホイク</t>
    </rPh>
    <phoneticPr fontId="1"/>
  </si>
  <si>
    <t>申請人数</t>
    <rPh sb="0" eb="2">
      <t>シンセイ</t>
    </rPh>
    <rPh sb="2" eb="4">
      <t>ニンズウ</t>
    </rPh>
    <phoneticPr fontId="1"/>
  </si>
  <si>
    <t>チーム保育推進加算</t>
    <phoneticPr fontId="1"/>
  </si>
  <si>
    <t>対象職員数判定欄</t>
    <rPh sb="0" eb="2">
      <t>タイショウ</t>
    </rPh>
    <rPh sb="2" eb="4">
      <t>ショクイン</t>
    </rPh>
    <rPh sb="4" eb="5">
      <t>スウ</t>
    </rPh>
    <rPh sb="5" eb="7">
      <t>ハンテイ</t>
    </rPh>
    <rPh sb="7" eb="8">
      <t>ラン</t>
    </rPh>
    <phoneticPr fontId="1"/>
  </si>
  <si>
    <t>-</t>
    <phoneticPr fontId="1"/>
  </si>
  <si>
    <t>経験年数</t>
    <rPh sb="0" eb="2">
      <t>ケイケン</t>
    </rPh>
    <rPh sb="2" eb="4">
      <t>ネンスウ</t>
    </rPh>
    <phoneticPr fontId="1"/>
  </si>
  <si>
    <t>経験が３年以上</t>
    <rPh sb="0" eb="2">
      <t>ケイケン</t>
    </rPh>
    <rPh sb="4" eb="5">
      <t>ネン</t>
    </rPh>
    <rPh sb="5" eb="7">
      <t>イジョウ</t>
    </rPh>
    <phoneticPr fontId="1"/>
  </si>
  <si>
    <t>該当の研修を修了</t>
    <rPh sb="0" eb="2">
      <t>ガイトウ</t>
    </rPh>
    <rPh sb="3" eb="5">
      <t>ケンシュウ</t>
    </rPh>
    <rPh sb="6" eb="8">
      <t>シュウリョウ</t>
    </rPh>
    <phoneticPr fontId="1"/>
  </si>
  <si>
    <t>該当の研修を未修</t>
    <rPh sb="0" eb="2">
      <t>ガイトウ</t>
    </rPh>
    <rPh sb="3" eb="5">
      <t>ケンシュウ</t>
    </rPh>
    <rPh sb="6" eb="8">
      <t>ミシュウ</t>
    </rPh>
    <phoneticPr fontId="1"/>
  </si>
  <si>
    <t>以下の要件を満たす場合、看護師・保健師を１名保育士としてカウントします。</t>
    <rPh sb="0" eb="2">
      <t>イカ</t>
    </rPh>
    <rPh sb="3" eb="5">
      <t>ヨウケン</t>
    </rPh>
    <rPh sb="6" eb="7">
      <t>ミ</t>
    </rPh>
    <rPh sb="9" eb="11">
      <t>バアイ</t>
    </rPh>
    <phoneticPr fontId="1"/>
  </si>
  <si>
    <t>適否</t>
    <rPh sb="0" eb="2">
      <t>テキヒ</t>
    </rPh>
    <phoneticPr fontId="1"/>
  </si>
  <si>
    <t>添付書類</t>
    <rPh sb="0" eb="4">
      <t>テンプショルイ</t>
    </rPh>
    <phoneticPr fontId="1"/>
  </si>
  <si>
    <t>参入区分</t>
    <rPh sb="0" eb="4">
      <t>サンニュウクブン</t>
    </rPh>
    <phoneticPr fontId="1"/>
  </si>
  <si>
    <t>要件①　月初日の０歳児が４人以上</t>
    <rPh sb="0" eb="2">
      <t>ヨウケン</t>
    </rPh>
    <rPh sb="4" eb="7">
      <t>ツキショニチ</t>
    </rPh>
    <rPh sb="9" eb="11">
      <t>サイジ</t>
    </rPh>
    <rPh sb="13" eb="14">
      <t>ニン</t>
    </rPh>
    <rPh sb="14" eb="16">
      <t>イジョウ</t>
    </rPh>
    <phoneticPr fontId="1"/>
  </si>
  <si>
    <t>要件②　保育士と合同の組・グループを編成し、同一の乳児室など同一空間内で保育を行うこと。</t>
    <rPh sb="0" eb="2">
      <t>ヨウケン</t>
    </rPh>
    <rPh sb="4" eb="7">
      <t>ホイクシ</t>
    </rPh>
    <rPh sb="8" eb="10">
      <t>ゴウドウ</t>
    </rPh>
    <rPh sb="11" eb="12">
      <t>クミ</t>
    </rPh>
    <rPh sb="18" eb="20">
      <t>ヘンセイ</t>
    </rPh>
    <rPh sb="22" eb="24">
      <t>ドウイツ</t>
    </rPh>
    <rPh sb="25" eb="27">
      <t>ニュウジ</t>
    </rPh>
    <rPh sb="27" eb="28">
      <t>シツ</t>
    </rPh>
    <rPh sb="30" eb="32">
      <t>ドウイツ</t>
    </rPh>
    <rPh sb="32" eb="34">
      <t>クウカン</t>
    </rPh>
    <rPh sb="34" eb="35">
      <t>ナイ</t>
    </rPh>
    <rPh sb="36" eb="38">
      <t>ホイク</t>
    </rPh>
    <rPh sb="39" eb="40">
      <t>オコナ</t>
    </rPh>
    <phoneticPr fontId="1"/>
  </si>
  <si>
    <t>要件③　認可保育所等での勤務経験が３年未満の場合は、地域型保育コース等の研修を修了</t>
    <rPh sb="0" eb="2">
      <t>ヨウケン</t>
    </rPh>
    <rPh sb="19" eb="21">
      <t>ミマン</t>
    </rPh>
    <rPh sb="22" eb="24">
      <t>バアイ</t>
    </rPh>
    <phoneticPr fontId="1"/>
  </si>
  <si>
    <t>施設コード</t>
    <rPh sb="0" eb="2">
      <t>シセツ</t>
    </rPh>
    <phoneticPr fontId="1"/>
  </si>
  <si>
    <t>施設名</t>
    <rPh sb="0" eb="3">
      <t>シセツメイ</t>
    </rPh>
    <phoneticPr fontId="1"/>
  </si>
  <si>
    <t>kyufuhi@city.sapporo.jp</t>
  </si>
  <si>
    <t>　　　　　　　　　　※問い合わせの際は、作成途中の申請書（エクセル）を一緒に添付してください。</t>
    <rPh sb="11" eb="12">
      <t>ト</t>
    </rPh>
    <rPh sb="13" eb="14">
      <t>ア</t>
    </rPh>
    <rPh sb="17" eb="18">
      <t>サイ</t>
    </rPh>
    <rPh sb="20" eb="24">
      <t>サクセイトチュウ</t>
    </rPh>
    <rPh sb="25" eb="28">
      <t>シンセイショ</t>
    </rPh>
    <phoneticPr fontId="1"/>
  </si>
  <si>
    <t>【提出先】</t>
    <rPh sb="1" eb="3">
      <t>テイシュツ</t>
    </rPh>
    <rPh sb="3" eb="4">
      <t>サキ</t>
    </rPh>
    <phoneticPr fontId="3"/>
  </si>
  <si>
    <t>29hoiku86</t>
    <phoneticPr fontId="1"/>
  </si>
  <si>
    <t>添付書類が必要な加算</t>
    <rPh sb="0" eb="2">
      <t>テンプ</t>
    </rPh>
    <rPh sb="2" eb="4">
      <t>ショルイ</t>
    </rPh>
    <rPh sb="5" eb="7">
      <t>ヒツヨウ</t>
    </rPh>
    <rPh sb="8" eb="10">
      <t>カサン</t>
    </rPh>
    <phoneticPr fontId="1"/>
  </si>
  <si>
    <t>挙証書類の名前</t>
    <rPh sb="0" eb="4">
      <t>キョショウショルイ</t>
    </rPh>
    <rPh sb="5" eb="7">
      <t>ナマエ</t>
    </rPh>
    <phoneticPr fontId="1"/>
  </si>
  <si>
    <t>添付書類①</t>
    <rPh sb="0" eb="2">
      <t>テンプ</t>
    </rPh>
    <rPh sb="2" eb="4">
      <t>ショルイ</t>
    </rPh>
    <phoneticPr fontId="1"/>
  </si>
  <si>
    <t>添付書類が必要な加算</t>
    <rPh sb="0" eb="4">
      <t>テンプショルイ</t>
    </rPh>
    <rPh sb="5" eb="7">
      <t>ヒツヨウ</t>
    </rPh>
    <rPh sb="8" eb="10">
      <t>カサン</t>
    </rPh>
    <phoneticPr fontId="1"/>
  </si>
  <si>
    <t>適用可否</t>
    <rPh sb="0" eb="4">
      <t>テキヨウカヒ</t>
    </rPh>
    <phoneticPr fontId="1"/>
  </si>
  <si>
    <t>変換</t>
    <rPh sb="0" eb="2">
      <t>ヘンカン</t>
    </rPh>
    <phoneticPr fontId="1"/>
  </si>
  <si>
    <t>添付書類②</t>
    <rPh sb="0" eb="2">
      <t>テンプ</t>
    </rPh>
    <rPh sb="2" eb="4">
      <t>ショルイ</t>
    </rPh>
    <phoneticPr fontId="1"/>
  </si>
  <si>
    <t>添付書類③</t>
    <rPh sb="0" eb="2">
      <t>テンプ</t>
    </rPh>
    <rPh sb="2" eb="4">
      <t>ショルイ</t>
    </rPh>
    <phoneticPr fontId="1"/>
  </si>
  <si>
    <t>添付書類④</t>
    <rPh sb="0" eb="2">
      <t>テンプ</t>
    </rPh>
    <rPh sb="2" eb="4">
      <t>ショルイ</t>
    </rPh>
    <phoneticPr fontId="1"/>
  </si>
  <si>
    <t>療育支援加算</t>
  </si>
  <si>
    <t>添付書類⑤</t>
    <rPh sb="0" eb="2">
      <t>テンプ</t>
    </rPh>
    <rPh sb="2" eb="4">
      <t>ショルイ</t>
    </rPh>
    <phoneticPr fontId="1"/>
  </si>
  <si>
    <t>栄養管理加算</t>
  </si>
  <si>
    <t>添付書類⑥</t>
    <rPh sb="0" eb="2">
      <t>テンプ</t>
    </rPh>
    <rPh sb="2" eb="4">
      <t>ショルイ</t>
    </rPh>
    <phoneticPr fontId="1"/>
  </si>
  <si>
    <t>添付書類⑦</t>
    <rPh sb="0" eb="2">
      <t>テンプ</t>
    </rPh>
    <rPh sb="2" eb="4">
      <t>ショルイ</t>
    </rPh>
    <phoneticPr fontId="1"/>
  </si>
  <si>
    <t>添付書類⑧</t>
    <rPh sb="0" eb="2">
      <t>テンプ</t>
    </rPh>
    <rPh sb="2" eb="4">
      <t>ショルイ</t>
    </rPh>
    <phoneticPr fontId="1"/>
  </si>
  <si>
    <t>添付書類⑨</t>
    <rPh sb="0" eb="2">
      <t>テンプ</t>
    </rPh>
    <rPh sb="2" eb="4">
      <t>ショルイ</t>
    </rPh>
    <phoneticPr fontId="1"/>
  </si>
  <si>
    <t>添付書類⑩</t>
    <rPh sb="0" eb="2">
      <t>テンプ</t>
    </rPh>
    <rPh sb="2" eb="4">
      <t>ショルイ</t>
    </rPh>
    <phoneticPr fontId="1"/>
  </si>
  <si>
    <t>添付書類⑪</t>
    <rPh sb="0" eb="2">
      <t>テンプ</t>
    </rPh>
    <rPh sb="2" eb="4">
      <t>ショルイ</t>
    </rPh>
    <phoneticPr fontId="1"/>
  </si>
  <si>
    <t>添付書類⑫</t>
    <rPh sb="0" eb="2">
      <t>テンプ</t>
    </rPh>
    <rPh sb="2" eb="4">
      <t>ショルイ</t>
    </rPh>
    <phoneticPr fontId="1"/>
  </si>
  <si>
    <t>添付書類⑬</t>
    <rPh sb="0" eb="2">
      <t>テンプ</t>
    </rPh>
    <rPh sb="2" eb="4">
      <t>ショルイ</t>
    </rPh>
    <phoneticPr fontId="1"/>
  </si>
  <si>
    <t>主任保育士専任加算</t>
  </si>
  <si>
    <t>事務職員雇上費加算</t>
  </si>
  <si>
    <t>施設長を配置していない場合(減算）</t>
    <phoneticPr fontId="1"/>
  </si>
  <si>
    <r>
      <rPr>
        <b/>
        <sz val="8"/>
        <color rgb="FFFF0000"/>
        <rFont val="ＭＳ ゴシック"/>
        <family val="3"/>
        <charset val="128"/>
      </rPr>
      <t>←</t>
    </r>
    <r>
      <rPr>
        <b/>
        <sz val="8"/>
        <rFont val="ＭＳ ゴシック"/>
        <family val="3"/>
        <charset val="128"/>
      </rPr>
      <t>メールの件名はこちらをコピーして使用してください。</t>
    </r>
    <rPh sb="5" eb="7">
      <t>ケンメイ</t>
    </rPh>
    <rPh sb="17" eb="19">
      <t>シヨウ</t>
    </rPh>
    <phoneticPr fontId="77"/>
  </si>
  <si>
    <r>
      <rPr>
        <b/>
        <sz val="8"/>
        <color rgb="FFFF0000"/>
        <rFont val="ＭＳ ゴシック"/>
        <family val="3"/>
        <charset val="128"/>
      </rPr>
      <t>←</t>
    </r>
    <r>
      <rPr>
        <b/>
        <sz val="8"/>
        <rFont val="ＭＳ ゴシック"/>
        <family val="3"/>
        <charset val="128"/>
      </rPr>
      <t>申請書（エクセル）の名前はこちらをコピーして使用してください。</t>
    </r>
    <rPh sb="1" eb="4">
      <t>シンセイショ</t>
    </rPh>
    <rPh sb="11" eb="13">
      <t>ナマエ</t>
    </rPh>
    <rPh sb="23" eb="25">
      <t>シヨウ</t>
    </rPh>
    <phoneticPr fontId="77"/>
  </si>
  <si>
    <r>
      <rPr>
        <b/>
        <sz val="8"/>
        <color rgb="FFFF0000"/>
        <rFont val="ＭＳ ゴシック"/>
        <family val="3"/>
        <charset val="128"/>
      </rPr>
      <t>←</t>
    </r>
    <r>
      <rPr>
        <b/>
        <sz val="8"/>
        <rFont val="ＭＳ ゴシック"/>
        <family val="3"/>
        <charset val="128"/>
      </rPr>
      <t>Excelデータをこちらのパスワードでお願いします。</t>
    </r>
    <rPh sb="21" eb="22">
      <t>ネガ</t>
    </rPh>
    <phoneticPr fontId="77"/>
  </si>
  <si>
    <t>添付書類（PDF)の名前</t>
    <rPh sb="0" eb="2">
      <t>テンプ</t>
    </rPh>
    <rPh sb="2" eb="4">
      <t>ショルイ</t>
    </rPh>
    <rPh sb="10" eb="12">
      <t>ナマエ</t>
    </rPh>
    <phoneticPr fontId="1"/>
  </si>
  <si>
    <t>以下のリストから名前をコピーしてください。</t>
    <rPh sb="0" eb="2">
      <t>イカ</t>
    </rPh>
    <rPh sb="8" eb="10">
      <t>ナマエ</t>
    </rPh>
    <phoneticPr fontId="1"/>
  </si>
  <si>
    <t>エクセルデータの名前</t>
    <rPh sb="8" eb="10">
      <t>ナマエ</t>
    </rPh>
    <phoneticPr fontId="1"/>
  </si>
  <si>
    <r>
      <t xml:space="preserve">＜【別添】添付書類の表紙＞
</t>
    </r>
    <r>
      <rPr>
        <sz val="10"/>
        <color theme="1"/>
        <rFont val="ＭＳ Ｐゴシック"/>
        <family val="3"/>
        <charset val="128"/>
        <scheme val="minor"/>
      </rPr>
      <t>データでの提出を前提とした内容に変更</t>
    </r>
    <r>
      <rPr>
        <b/>
        <sz val="10"/>
        <color theme="1"/>
        <rFont val="ＭＳ Ｐゴシック"/>
        <family val="3"/>
        <charset val="128"/>
        <scheme val="minor"/>
      </rPr>
      <t xml:space="preserve">
＜【様式１】総括表・個票＞
</t>
    </r>
    <r>
      <rPr>
        <sz val="10"/>
        <color theme="1"/>
        <rFont val="ＭＳ Ｐゴシック"/>
        <family val="3"/>
        <charset val="128"/>
        <scheme val="minor"/>
      </rPr>
      <t>制度改正に伴うチーム保育推進加算の変更
処遇改善加算Ⅲの項目を追加
コロナ特例を廃止</t>
    </r>
    <r>
      <rPr>
        <b/>
        <sz val="10"/>
        <color theme="1"/>
        <rFont val="ＭＳ Ｐゴシック"/>
        <family val="3"/>
        <charset val="128"/>
        <scheme val="minor"/>
      </rPr>
      <t xml:space="preserve">
＜(別紙2)土曜閉所＞
</t>
    </r>
    <r>
      <rPr>
        <sz val="10"/>
        <color theme="1"/>
        <rFont val="ＭＳ Ｐゴシック"/>
        <family val="3"/>
        <charset val="128"/>
        <scheme val="minor"/>
      </rPr>
      <t>コロナ特例を廃止</t>
    </r>
    <r>
      <rPr>
        <b/>
        <sz val="10"/>
        <color theme="1"/>
        <rFont val="ＭＳ Ｐゴシック"/>
        <family val="3"/>
        <charset val="128"/>
        <scheme val="minor"/>
      </rPr>
      <t xml:space="preserve">
＜【様式2】職員名簿＞
</t>
    </r>
    <r>
      <rPr>
        <sz val="10"/>
        <color theme="1"/>
        <rFont val="ＭＳ Ｐゴシック"/>
        <family val="3"/>
        <charset val="128"/>
        <scheme val="minor"/>
      </rPr>
      <t>制度改正に伴う看護師等の特例に係る適否の設定</t>
    </r>
    <r>
      <rPr>
        <b/>
        <sz val="10"/>
        <color theme="1"/>
        <rFont val="ＭＳ Ｐゴシック"/>
        <family val="3"/>
        <charset val="128"/>
        <scheme val="minor"/>
      </rPr>
      <t xml:space="preserve">
＜【様式３】シフト表＞
</t>
    </r>
    <r>
      <rPr>
        <sz val="10"/>
        <color theme="1"/>
        <rFont val="ＭＳ Ｐゴシック"/>
        <family val="3"/>
        <charset val="128"/>
        <scheme val="minor"/>
      </rPr>
      <t>常勤換算の時間数を超える入力の制限を追加</t>
    </r>
    <r>
      <rPr>
        <b/>
        <sz val="10"/>
        <color theme="1"/>
        <rFont val="ＭＳ Ｐゴシック"/>
        <family val="3"/>
        <charset val="128"/>
        <scheme val="minor"/>
      </rPr>
      <t xml:space="preserve">
＜【様式５】職員数算出表＞
</t>
    </r>
    <r>
      <rPr>
        <sz val="10"/>
        <color theme="1"/>
        <rFont val="ＭＳ Ｐゴシック"/>
        <family val="3"/>
        <charset val="128"/>
        <scheme val="minor"/>
      </rPr>
      <t xml:space="preserve">制度改正に伴うチーム保育推進加算の変更
加配保育士等雇用促進補助金欄での担当時間数入力廃止
</t>
    </r>
    <r>
      <rPr>
        <b/>
        <sz val="10"/>
        <color theme="1"/>
        <rFont val="ＭＳ Ｐゴシック"/>
        <family val="3"/>
        <charset val="128"/>
        <scheme val="minor"/>
      </rPr>
      <t xml:space="preserve">＜【様式6】加算確認表＞
</t>
    </r>
    <r>
      <rPr>
        <sz val="10"/>
        <color theme="1"/>
        <rFont val="ＭＳ Ｐゴシック"/>
        <family val="3"/>
        <charset val="128"/>
        <scheme val="minor"/>
      </rPr>
      <t>処遇改善加算Ⅲの項目を追加</t>
    </r>
    <phoneticPr fontId="1"/>
  </si>
  <si>
    <t xml:space="preserve"> ・　国通知「特定教育・保育等に要する費用の額の算定に関する基準等の改正に伴う実施上の留意事項について」
　　（令和5年2月20日改正）　内閣府HP：https://www8.cao.go.jp/shoushi/shinseido/law/tsuuchi.html
</t>
    <phoneticPr fontId="1"/>
  </si>
  <si>
    <t>【別添】添付書類の表紙シートにて名前が表示されない不備を修正。</t>
    <rPh sb="1" eb="3">
      <t>ベッテン</t>
    </rPh>
    <rPh sb="4" eb="6">
      <t>テンプ</t>
    </rPh>
    <rPh sb="6" eb="8">
      <t>ショルイ</t>
    </rPh>
    <rPh sb="9" eb="11">
      <t>ヒョウシ</t>
    </rPh>
    <rPh sb="16" eb="18">
      <t>ナマエ</t>
    </rPh>
    <rPh sb="19" eb="21">
      <t>ヒョウジ</t>
    </rPh>
    <rPh sb="25" eb="27">
      <t>フビ</t>
    </rPh>
    <rPh sb="28" eb="30">
      <t>シュウセイ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</si>
</sst>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76" formatCode="#&quot;人&quot;"/>
    <numFmt numFmtId="177" formatCode="#,##0.0&quot;人&quot;"/>
    <numFmt numFmtId="178" formatCode="#0.00&quot;時&quot;&quot;間&quot;"/>
    <numFmt numFmtId="179" formatCode="[$-F800]dddd\,\ mmmm\ dd\,\ yyyy"/>
    <numFmt numFmtId="180" formatCode="0.0"/>
    <numFmt numFmtId="181" formatCode="##&quot;月&quot;"/>
    <numFmt numFmtId="182" formatCode="#&quot;%&quot;"/>
    <numFmt numFmtId="183" formatCode="#,##0_ "/>
    <numFmt numFmtId="184" formatCode="#,##0;&quot;▲ &quot;#,##0"/>
    <numFmt numFmtId="185" formatCode="\(#,##0\)"/>
    <numFmt numFmtId="186" formatCode="#,##0\×&quot;加&quot;&quot;算&quot;&quot;率&quot;"/>
    <numFmt numFmtId="187" formatCode="#0&quot;人&quot;"/>
    <numFmt numFmtId="188" formatCode="yyyy&quot;年&quot;m&quot;月&quot;d&quot;日&quot;;@"/>
    <numFmt numFmtId="189" formatCode="##0&quot;歳児&quot;"/>
    <numFmt numFmtId="190" formatCode="General&quot;％&quot;"/>
    <numFmt numFmtId="191" formatCode="0.0&quot;人&quot;"/>
    <numFmt numFmtId="192" formatCode="0_);[Red]\(0\)"/>
    <numFmt numFmtId="193" formatCode="General&quot;年&quot;&quot;度&quot;"/>
    <numFmt numFmtId="194" formatCode="m&quot;月&quot;"/>
    <numFmt numFmtId="195" formatCode="[$-411]ggge&quot;年&quot;m&quot;月&quot;d&quot;日&quot;;@"/>
    <numFmt numFmtId="196" formatCode="#,##0&quot;人&quot;"/>
    <numFmt numFmtId="197" formatCode="##&quot;円&quot;"/>
    <numFmt numFmtId="198" formatCode="0.00_);[Red]\(0.00\)"/>
    <numFmt numFmtId="199" formatCode="yyyy/m/d;@"/>
    <numFmt numFmtId="200" formatCode="General&quot;名&quot;"/>
    <numFmt numFmtId="201" formatCode="General&quot;日&quot;"/>
    <numFmt numFmtId="202" formatCode="&quot;第&quot;General&quot;土&quot;&quot;曜&quot;&quot;日&quot;"/>
    <numFmt numFmtId="203" formatCode="&quot;＜&quot;yyyy&quot;年&quot;m&quot;月&quot;&quot;＞&quot;"/>
    <numFmt numFmtId="204" formatCode="#,##0.00&quot;人&quot;"/>
    <numFmt numFmtId="205" formatCode="0.0_ "/>
    <numFmt numFmtId="206" formatCode="#0.00"/>
    <numFmt numFmtId="207" formatCode="0.00_ "/>
    <numFmt numFmtId="208" formatCode="#0.00\※"/>
    <numFmt numFmtId="209" formatCode="0.0_);[Red]\(0.0\)"/>
    <numFmt numFmtId="210" formatCode="&quot;1：&quot;General"/>
    <numFmt numFmtId="211" formatCode="General&quot;月&quot;&quot;超&quot;&quot;過&quot;"/>
    <numFmt numFmtId="212" formatCode="#,##0_ ;[Red]\-#,##0\ "/>
    <numFmt numFmtId="213" formatCode="#,##0&quot;時間&quot;"/>
    <numFmt numFmtId="214" formatCode="0&quot;月&quot;"/>
  </numFmts>
  <fonts count="99">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b/>
      <sz val="11"/>
      <name val="ＭＳ Ｐゴシック"/>
      <family val="3"/>
      <charset val="128"/>
    </font>
    <font>
      <sz val="11"/>
      <color theme="1"/>
      <name val="ＭＳ Ｐゴシック"/>
      <family val="3"/>
      <charset val="128"/>
      <scheme val="minor"/>
    </font>
    <font>
      <sz val="12"/>
      <name val="ＭＳ Ｐゴシック"/>
      <family val="3"/>
      <charset val="128"/>
    </font>
    <font>
      <sz val="11"/>
      <color theme="1"/>
      <name val="ＭＳ Ｐゴシック"/>
      <family val="2"/>
      <charset val="128"/>
      <scheme val="minor"/>
    </font>
    <font>
      <b/>
      <sz val="12"/>
      <name val="ＭＳ Ｐゴシック"/>
      <family val="3"/>
      <charset val="128"/>
    </font>
    <font>
      <sz val="10"/>
      <name val="ＭＳ 明朝"/>
      <family val="1"/>
      <charset val="128"/>
    </font>
    <font>
      <sz val="12"/>
      <name val="明朝"/>
      <family val="3"/>
      <charset val="128"/>
    </font>
    <font>
      <sz val="10"/>
      <name val="ＭＳ ゴシック"/>
      <family val="3"/>
      <charset val="128"/>
    </font>
    <font>
      <b/>
      <sz val="10"/>
      <name val="ＭＳ 明朝"/>
      <family val="1"/>
      <charset val="128"/>
    </font>
    <font>
      <b/>
      <sz val="10"/>
      <name val="ＭＳ ゴシック"/>
      <family val="3"/>
      <charset val="128"/>
    </font>
    <font>
      <sz val="10"/>
      <name val="ＭＳ Ｐゴシック"/>
      <family val="3"/>
      <charset val="128"/>
      <scheme val="minor"/>
    </font>
    <font>
      <u/>
      <sz val="10"/>
      <name val="ＭＳ 明朝"/>
      <family val="1"/>
      <charset val="128"/>
    </font>
    <font>
      <sz val="6"/>
      <name val="明朝"/>
      <family val="3"/>
      <charset val="128"/>
    </font>
    <font>
      <sz val="9"/>
      <color theme="1"/>
      <name val="ＭＳ ゴシック"/>
      <family val="3"/>
      <charset val="128"/>
    </font>
    <font>
      <sz val="9"/>
      <name val="ＭＳ ゴシック"/>
      <family val="3"/>
      <charset val="128"/>
    </font>
    <font>
      <sz val="9"/>
      <color theme="1"/>
      <name val="ＭＳ Ｐゴシック"/>
      <family val="3"/>
      <charset val="128"/>
      <scheme val="minor"/>
    </font>
    <font>
      <b/>
      <sz val="9"/>
      <color theme="1"/>
      <name val="ＭＳ ゴシック"/>
      <family val="3"/>
      <charset val="128"/>
    </font>
    <font>
      <sz val="9"/>
      <color rgb="FFFF0000"/>
      <name val="ＭＳ ゴシック"/>
      <family val="3"/>
      <charset val="128"/>
    </font>
    <font>
      <sz val="9"/>
      <color indexed="8"/>
      <name val="ＭＳ ゴシック"/>
      <family val="3"/>
      <charset val="128"/>
    </font>
    <font>
      <sz val="8"/>
      <name val="ＭＳ Ｐゴシック"/>
      <family val="3"/>
      <charset val="128"/>
      <scheme val="minor"/>
    </font>
    <font>
      <b/>
      <sz val="8"/>
      <name val="ＭＳ Ｐゴシック"/>
      <family val="3"/>
      <charset val="128"/>
      <scheme val="minor"/>
    </font>
    <font>
      <sz val="10"/>
      <color theme="1"/>
      <name val="ＭＳ Ｐゴシック"/>
      <family val="3"/>
      <charset val="128"/>
      <scheme val="minor"/>
    </font>
    <font>
      <sz val="10"/>
      <color theme="1"/>
      <name val="ＭＳ Ｐゴシック"/>
      <family val="2"/>
      <charset val="128"/>
      <scheme val="minor"/>
    </font>
    <font>
      <sz val="10"/>
      <color theme="1"/>
      <name val="ＭＳ 明朝"/>
      <family val="1"/>
      <charset val="128"/>
    </font>
    <font>
      <sz val="10"/>
      <color rgb="FFFF0000"/>
      <name val="ＭＳ 明朝"/>
      <family val="1"/>
      <charset val="128"/>
    </font>
    <font>
      <sz val="10"/>
      <color rgb="FF0070C0"/>
      <name val="ＭＳ 明朝"/>
      <family val="1"/>
      <charset val="128"/>
    </font>
    <font>
      <sz val="10"/>
      <name val="ＭＳ Ｐ明朝"/>
      <family val="1"/>
      <charset val="128"/>
    </font>
    <font>
      <sz val="24"/>
      <name val="ＭＳ Ｐゴシック"/>
      <family val="3"/>
      <charset val="128"/>
    </font>
    <font>
      <sz val="12"/>
      <color rgb="FFFF0000"/>
      <name val="ＭＳ Ｐゴシック"/>
      <family val="3"/>
      <charset val="128"/>
    </font>
    <font>
      <vertAlign val="superscript"/>
      <sz val="10"/>
      <name val="ＭＳ 明朝"/>
      <family val="1"/>
      <charset val="128"/>
    </font>
    <font>
      <b/>
      <sz val="10"/>
      <name val="ＭＳ Ｐゴシック"/>
      <family val="3"/>
      <charset val="128"/>
      <scheme val="minor"/>
    </font>
    <font>
      <sz val="10"/>
      <color rgb="FFFF0000"/>
      <name val="ＭＳ Ｐゴシック"/>
      <family val="2"/>
      <charset val="128"/>
      <scheme val="minor"/>
    </font>
    <font>
      <strike/>
      <sz val="10"/>
      <name val="ＭＳ 明朝"/>
      <family val="1"/>
      <charset val="128"/>
    </font>
    <font>
      <b/>
      <sz val="12"/>
      <name val="ＭＳ ゴシック"/>
      <family val="3"/>
      <charset val="128"/>
    </font>
    <font>
      <sz val="9"/>
      <name val="ＭＳ 明朝"/>
      <family val="1"/>
      <charset val="128"/>
    </font>
    <font>
      <sz val="8"/>
      <name val="ＭＳ 明朝"/>
      <family val="1"/>
      <charset val="128"/>
    </font>
    <font>
      <b/>
      <sz val="10"/>
      <color theme="1"/>
      <name val="ＭＳ Ｐゴシック"/>
      <family val="3"/>
      <charset val="128"/>
      <scheme val="minor"/>
    </font>
    <font>
      <b/>
      <sz val="10"/>
      <name val="ＭＳ Ｐゴシック"/>
      <family val="3"/>
      <charset val="128"/>
    </font>
    <font>
      <b/>
      <sz val="16"/>
      <color theme="1"/>
      <name val="ＭＳ Ｐゴシック"/>
      <family val="3"/>
      <charset val="128"/>
      <scheme val="minor"/>
    </font>
    <font>
      <sz val="11"/>
      <color theme="1"/>
      <name val="ＭＳ 明朝"/>
      <family val="1"/>
      <charset val="128"/>
    </font>
    <font>
      <sz val="9"/>
      <color theme="1"/>
      <name val="ＭＳ 明朝"/>
      <family val="1"/>
      <charset val="128"/>
    </font>
    <font>
      <sz val="11"/>
      <color rgb="FFFF0000"/>
      <name val="ＭＳ 明朝"/>
      <family val="1"/>
      <charset val="128"/>
    </font>
    <font>
      <b/>
      <sz val="10"/>
      <color theme="1"/>
      <name val="ＭＳ 明朝"/>
      <family val="1"/>
      <charset val="128"/>
    </font>
    <font>
      <b/>
      <sz val="10"/>
      <color theme="1"/>
      <name val="ＭＳ ゴシック"/>
      <family val="3"/>
      <charset val="128"/>
    </font>
    <font>
      <b/>
      <sz val="12"/>
      <name val="ＭＳ 明朝"/>
      <family val="1"/>
      <charset val="128"/>
    </font>
    <font>
      <sz val="11"/>
      <name val="ＭＳ 明朝"/>
      <family val="1"/>
      <charset val="128"/>
    </font>
    <font>
      <b/>
      <sz val="12"/>
      <color theme="1"/>
      <name val="ＭＳ 明朝"/>
      <family val="1"/>
      <charset val="128"/>
    </font>
    <font>
      <b/>
      <sz val="10"/>
      <color rgb="FFFF0000"/>
      <name val="ＭＳ 明朝"/>
      <family val="1"/>
      <charset val="128"/>
    </font>
    <font>
      <b/>
      <u/>
      <sz val="10"/>
      <color rgb="FFFF0000"/>
      <name val="ＭＳ 明朝"/>
      <family val="1"/>
      <charset val="128"/>
    </font>
    <font>
      <b/>
      <sz val="14"/>
      <name val="ＭＳ ゴシック"/>
      <family val="3"/>
      <charset val="128"/>
    </font>
    <font>
      <sz val="14"/>
      <color theme="1"/>
      <name val="ＭＳ 明朝"/>
      <family val="1"/>
      <charset val="128"/>
    </font>
    <font>
      <sz val="14"/>
      <name val="ＭＳ 明朝"/>
      <family val="1"/>
      <charset val="128"/>
    </font>
    <font>
      <b/>
      <sz val="14"/>
      <color theme="1"/>
      <name val="ＭＳ ゴシック"/>
      <family val="3"/>
      <charset val="128"/>
    </font>
    <font>
      <u/>
      <sz val="14"/>
      <color theme="1"/>
      <name val="ＭＳ 明朝"/>
      <family val="1"/>
      <charset val="128"/>
    </font>
    <font>
      <sz val="14"/>
      <color rgb="FFFF0000"/>
      <name val="ＭＳ 明朝"/>
      <family val="1"/>
      <charset val="128"/>
    </font>
    <font>
      <b/>
      <sz val="6"/>
      <color theme="1"/>
      <name val="ＭＳ 明朝"/>
      <family val="1"/>
      <charset val="128"/>
    </font>
    <font>
      <b/>
      <sz val="6"/>
      <name val="ＭＳ 明朝"/>
      <family val="1"/>
      <charset val="128"/>
    </font>
    <font>
      <sz val="6"/>
      <name val="ＭＳ 明朝"/>
      <family val="1"/>
      <charset val="128"/>
    </font>
    <font>
      <sz val="6"/>
      <color theme="1"/>
      <name val="ＭＳ 明朝"/>
      <family val="1"/>
      <charset val="128"/>
    </font>
    <font>
      <sz val="8"/>
      <color theme="1"/>
      <name val="ＭＳ 明朝"/>
      <family val="1"/>
      <charset val="128"/>
    </font>
    <font>
      <b/>
      <sz val="14"/>
      <color theme="1"/>
      <name val="ＭＳ 明朝"/>
      <family val="1"/>
      <charset val="128"/>
    </font>
    <font>
      <b/>
      <sz val="11"/>
      <color theme="1"/>
      <name val="ＭＳ 明朝"/>
      <family val="1"/>
      <charset val="128"/>
    </font>
    <font>
      <b/>
      <sz val="11"/>
      <name val="ＭＳ 明朝"/>
      <family val="1"/>
      <charset val="128"/>
    </font>
    <font>
      <b/>
      <sz val="10"/>
      <color rgb="FFFF0000"/>
      <name val="ＭＳ Ｐゴシック"/>
      <family val="3"/>
      <charset val="128"/>
    </font>
    <font>
      <sz val="9"/>
      <color theme="1"/>
      <name val="ＭＳ Ｐゴシック"/>
      <family val="2"/>
      <charset val="128"/>
      <scheme val="minor"/>
    </font>
    <font>
      <sz val="9"/>
      <color rgb="FFFF0000"/>
      <name val="ＭＳ 明朝"/>
      <family val="1"/>
      <charset val="128"/>
    </font>
    <font>
      <b/>
      <sz val="8"/>
      <color theme="1"/>
      <name val="ＭＳ 明朝"/>
      <family val="1"/>
      <charset val="128"/>
    </font>
    <font>
      <sz val="11"/>
      <color rgb="FF0070C0"/>
      <name val="ＭＳ Ｐゴシック"/>
      <family val="3"/>
      <charset val="128"/>
    </font>
    <font>
      <u/>
      <sz val="11"/>
      <color theme="10"/>
      <name val="ＭＳ Ｐゴシック"/>
      <family val="2"/>
      <charset val="128"/>
      <scheme val="minor"/>
    </font>
    <font>
      <sz val="11"/>
      <color theme="1"/>
      <name val="ＭＳ Ｐゴシック"/>
      <family val="2"/>
      <scheme val="minor"/>
    </font>
    <font>
      <sz val="12"/>
      <name val="ＭＳ ゴシック"/>
      <family val="3"/>
      <charset val="128"/>
    </font>
    <font>
      <b/>
      <sz val="14"/>
      <color rgb="FFFF0000"/>
      <name val="ＭＳ Ｐゴシック"/>
      <family val="3"/>
      <charset val="128"/>
    </font>
    <font>
      <sz val="6"/>
      <name val="ＭＳ Ｐゴシック"/>
      <family val="3"/>
      <charset val="128"/>
      <scheme val="minor"/>
    </font>
    <font>
      <u/>
      <sz val="11"/>
      <color theme="10"/>
      <name val="ＭＳ Ｐゴシック"/>
      <family val="2"/>
      <scheme val="minor"/>
    </font>
    <font>
      <sz val="11"/>
      <name val="ＭＳ ゴシック"/>
      <family val="3"/>
      <charset val="128"/>
    </font>
    <font>
      <b/>
      <sz val="12"/>
      <color rgb="FFFF0000"/>
      <name val="ＭＳ ゴシック"/>
      <family val="3"/>
      <charset val="128"/>
    </font>
    <font>
      <sz val="12"/>
      <color theme="1"/>
      <name val="ＭＳ Ｐゴシック"/>
      <family val="2"/>
      <scheme val="minor"/>
    </font>
    <font>
      <sz val="12"/>
      <color theme="1"/>
      <name val="ＭＳ Ｐゴシック"/>
      <family val="3"/>
      <charset val="128"/>
      <scheme val="minor"/>
    </font>
    <font>
      <sz val="14"/>
      <color theme="1"/>
      <name val="ＭＳ Ｐゴシック"/>
      <family val="2"/>
      <scheme val="minor"/>
    </font>
    <font>
      <sz val="14"/>
      <color theme="1"/>
      <name val="ＭＳ Ｐゴシック"/>
      <family val="3"/>
      <charset val="128"/>
      <scheme val="minor"/>
    </font>
    <font>
      <sz val="12"/>
      <name val="ＭＳ Ｐゴシック"/>
      <family val="2"/>
      <scheme val="minor"/>
    </font>
    <font>
      <u/>
      <sz val="12"/>
      <color theme="10"/>
      <name val="ＭＳ Ｐゴシック"/>
      <family val="2"/>
      <charset val="128"/>
      <scheme val="minor"/>
    </font>
    <font>
      <sz val="12"/>
      <name val="ＭＳ Ｐゴシック"/>
      <family val="3"/>
      <charset val="128"/>
      <scheme val="minor"/>
    </font>
    <font>
      <sz val="12"/>
      <color rgb="FFFF0000"/>
      <name val="ＭＳ ゴシック"/>
      <family val="3"/>
      <charset val="128"/>
    </font>
    <font>
      <b/>
      <sz val="8"/>
      <color rgb="FFFF0000"/>
      <name val="ＭＳ 明朝"/>
      <family val="1"/>
      <charset val="128"/>
    </font>
    <font>
      <b/>
      <sz val="11"/>
      <name val="ＭＳ Ｐゴシック"/>
      <family val="3"/>
      <charset val="128"/>
      <scheme val="minor"/>
    </font>
    <font>
      <b/>
      <u/>
      <sz val="14"/>
      <color theme="10"/>
      <name val="ＭＳ Ｐゴシック"/>
      <family val="3"/>
      <charset val="128"/>
      <scheme val="minor"/>
    </font>
    <font>
      <sz val="11"/>
      <name val="ＭＳ Ｐゴシック"/>
      <family val="2"/>
      <scheme val="minor"/>
    </font>
    <font>
      <b/>
      <sz val="11"/>
      <color theme="1"/>
      <name val="ＭＳ Ｐゴシック"/>
      <family val="3"/>
      <charset val="128"/>
      <scheme val="minor"/>
    </font>
    <font>
      <b/>
      <sz val="11"/>
      <color rgb="FFFFFF00"/>
      <name val="ＭＳ Ｐゴシック"/>
      <family val="3"/>
      <charset val="128"/>
      <scheme val="minor"/>
    </font>
    <font>
      <b/>
      <sz val="8"/>
      <name val="ＭＳ ゴシック"/>
      <family val="3"/>
      <charset val="128"/>
    </font>
    <font>
      <b/>
      <sz val="8"/>
      <color rgb="FFFF0000"/>
      <name val="ＭＳ ゴシック"/>
      <family val="3"/>
      <charset val="128"/>
    </font>
    <font>
      <sz val="8"/>
      <color theme="1"/>
      <name val="ＭＳ Ｐゴシック"/>
      <family val="2"/>
      <charset val="128"/>
      <scheme val="minor"/>
    </font>
    <font>
      <sz val="8"/>
      <name val="ＭＳ ゴシック"/>
      <family val="3"/>
      <charset val="128"/>
    </font>
  </fonts>
  <fills count="1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rgb="FFFFCCFF"/>
        <bgColor indexed="64"/>
      </patternFill>
    </fill>
    <fill>
      <patternFill patternType="solid">
        <fgColor rgb="FFCCFF99"/>
        <bgColor indexed="64"/>
      </patternFill>
    </fill>
    <fill>
      <patternFill patternType="solid">
        <fgColor theme="0" tint="-4.9989318521683403E-2"/>
        <bgColor indexed="64"/>
      </patternFill>
    </fill>
    <fill>
      <patternFill patternType="solid">
        <fgColor indexed="27"/>
        <bgColor indexed="64"/>
      </patternFill>
    </fill>
    <fill>
      <patternFill patternType="solid">
        <fgColor rgb="FFFFFF99"/>
        <bgColor indexed="64"/>
      </patternFill>
    </fill>
    <fill>
      <patternFill patternType="gray0625">
        <bgColor theme="0"/>
      </patternFill>
    </fill>
    <fill>
      <patternFill patternType="solid">
        <fgColor theme="0" tint="-0.249977111117893"/>
        <bgColor indexed="64"/>
      </patternFill>
    </fill>
    <fill>
      <patternFill patternType="solid">
        <fgColor theme="4" tint="0.79998168889431442"/>
        <bgColor indexed="64"/>
      </patternFill>
    </fill>
    <fill>
      <patternFill patternType="solid">
        <fgColor theme="1"/>
        <bgColor indexed="64"/>
      </patternFill>
    </fill>
  </fills>
  <borders count="529">
    <border>
      <left/>
      <right/>
      <top/>
      <bottom/>
      <diagonal/>
    </border>
    <border>
      <left style="thin">
        <color indexed="64"/>
      </left>
      <right style="thin">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thin">
        <color indexed="64"/>
      </left>
      <right/>
      <top/>
      <bottom style="double">
        <color indexed="64"/>
      </bottom>
      <diagonal/>
    </border>
    <border>
      <left/>
      <right style="medium">
        <color indexed="64"/>
      </right>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
      <left style="medium">
        <color auto="1"/>
      </left>
      <right style="double">
        <color auto="1"/>
      </right>
      <top style="medium">
        <color auto="1"/>
      </top>
      <bottom/>
      <diagonal/>
    </border>
    <border>
      <left style="medium">
        <color auto="1"/>
      </left>
      <right style="double">
        <color auto="1"/>
      </right>
      <top/>
      <bottom/>
      <diagonal/>
    </border>
    <border>
      <left style="thin">
        <color auto="1"/>
      </left>
      <right style="thin">
        <color auto="1"/>
      </right>
      <top/>
      <bottom style="medium">
        <color auto="1"/>
      </bottom>
      <diagonal/>
    </border>
    <border>
      <left style="double">
        <color auto="1"/>
      </left>
      <right/>
      <top style="medium">
        <color auto="1"/>
      </top>
      <bottom/>
      <diagonal/>
    </border>
    <border>
      <left style="double">
        <color auto="1"/>
      </left>
      <right/>
      <top/>
      <bottom/>
      <diagonal/>
    </border>
    <border>
      <left style="double">
        <color auto="1"/>
      </left>
      <right style="dotted">
        <color auto="1"/>
      </right>
      <top style="thin">
        <color auto="1"/>
      </top>
      <bottom style="medium">
        <color indexed="64"/>
      </bottom>
      <diagonal/>
    </border>
    <border>
      <left style="dotted">
        <color auto="1"/>
      </left>
      <right style="thin">
        <color indexed="64"/>
      </right>
      <top style="thin">
        <color auto="1"/>
      </top>
      <bottom style="medium">
        <color indexed="64"/>
      </bottom>
      <diagonal/>
    </border>
    <border>
      <left style="thin">
        <color auto="1"/>
      </left>
      <right style="dotted">
        <color auto="1"/>
      </right>
      <top style="thin">
        <color auto="1"/>
      </top>
      <bottom style="medium">
        <color auto="1"/>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medium">
        <color indexed="64"/>
      </left>
      <right/>
      <top style="thin">
        <color indexed="64"/>
      </top>
      <bottom style="thin">
        <color indexed="64"/>
      </bottom>
      <diagonal/>
    </border>
    <border>
      <left style="thin">
        <color theme="1"/>
      </left>
      <right style="thin">
        <color indexed="64"/>
      </right>
      <top style="hair">
        <color indexed="64"/>
      </top>
      <bottom style="thin">
        <color indexed="64"/>
      </bottom>
      <diagonal/>
    </border>
    <border>
      <left/>
      <right style="medium">
        <color indexed="64"/>
      </right>
      <top/>
      <bottom style="thin">
        <color indexed="64"/>
      </bottom>
      <diagonal/>
    </border>
    <border>
      <left style="double">
        <color indexed="64"/>
      </left>
      <right style="double">
        <color indexed="64"/>
      </right>
      <top style="double">
        <color indexed="64"/>
      </top>
      <bottom style="double">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top style="dotted">
        <color indexed="64"/>
      </top>
      <bottom/>
      <diagonal/>
    </border>
    <border>
      <left style="thin">
        <color indexed="64"/>
      </left>
      <right/>
      <top style="dotted">
        <color indexed="64"/>
      </top>
      <bottom/>
      <diagonal/>
    </border>
    <border>
      <left/>
      <right style="thin">
        <color indexed="64"/>
      </right>
      <top style="dotted">
        <color indexed="64"/>
      </top>
      <bottom/>
      <diagonal/>
    </border>
    <border>
      <left/>
      <right/>
      <top style="thin">
        <color rgb="FF000000"/>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medium">
        <color indexed="64"/>
      </bottom>
      <diagonal/>
    </border>
    <border>
      <left style="dotted">
        <color indexed="64"/>
      </left>
      <right/>
      <top style="dotted">
        <color indexed="64"/>
      </top>
      <bottom style="dotted">
        <color indexed="64"/>
      </bottom>
      <diagonal/>
    </border>
    <border>
      <left/>
      <right style="thin">
        <color indexed="64"/>
      </right>
      <top/>
      <bottom style="medium">
        <color indexed="64"/>
      </bottom>
      <diagonal/>
    </border>
    <border>
      <left/>
      <right style="dotted">
        <color indexed="64"/>
      </right>
      <top/>
      <bottom style="medium">
        <color indexed="64"/>
      </bottom>
      <diagonal/>
    </border>
    <border>
      <left style="dotted">
        <color indexed="64"/>
      </left>
      <right style="medium">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top style="dotted">
        <color indexed="64"/>
      </top>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dotted">
        <color indexed="64"/>
      </left>
      <right/>
      <top/>
      <bottom/>
      <diagonal/>
    </border>
    <border>
      <left style="thin">
        <color indexed="64"/>
      </left>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hair">
        <color indexed="64"/>
      </bottom>
      <diagonal/>
    </border>
    <border>
      <left/>
      <right style="thin">
        <color indexed="64"/>
      </right>
      <top style="dotted">
        <color indexed="64"/>
      </top>
      <bottom style="hair">
        <color indexed="64"/>
      </bottom>
      <diagonal/>
    </border>
    <border>
      <left style="hair">
        <color indexed="64"/>
      </left>
      <right style="thin">
        <color indexed="64"/>
      </right>
      <top style="dotted">
        <color indexed="64"/>
      </top>
      <bottom style="dotted">
        <color indexed="64"/>
      </bottom>
      <diagonal/>
    </border>
    <border>
      <left style="dotted">
        <color indexed="64"/>
      </left>
      <right/>
      <top/>
      <bottom style="thin">
        <color indexed="64"/>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right style="thin">
        <color theme="1"/>
      </right>
      <top style="thin">
        <color indexed="64"/>
      </top>
      <bottom/>
      <diagonal/>
    </border>
    <border>
      <left style="thin">
        <color theme="1"/>
      </left>
      <right style="thin">
        <color indexed="64"/>
      </right>
      <top/>
      <bottom style="hair">
        <color indexed="64"/>
      </bottom>
      <diagonal/>
    </border>
    <border>
      <left style="thin">
        <color theme="1"/>
      </left>
      <right style="thin">
        <color indexed="64"/>
      </right>
      <top style="dotted">
        <color indexed="64"/>
      </top>
      <bottom style="hair">
        <color indexed="64"/>
      </bottom>
      <diagonal/>
    </border>
    <border>
      <left style="thin">
        <color theme="1"/>
      </left>
      <right style="thin">
        <color indexed="64"/>
      </right>
      <top style="hair">
        <color indexed="64"/>
      </top>
      <bottom style="dotted">
        <color indexed="64"/>
      </bottom>
      <diagonal/>
    </border>
    <border>
      <left style="thin">
        <color theme="1"/>
      </left>
      <right style="thin">
        <color indexed="64"/>
      </right>
      <top/>
      <bottom/>
      <diagonal/>
    </border>
    <border>
      <left style="hair">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dotted">
        <color indexed="64"/>
      </top>
      <bottom style="hair">
        <color indexed="64"/>
      </bottom>
      <diagonal/>
    </border>
    <border>
      <left style="hair">
        <color indexed="64"/>
      </left>
      <right style="hair">
        <color indexed="64"/>
      </right>
      <top style="dotted">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dotted">
        <color indexed="64"/>
      </bottom>
      <diagonal/>
    </border>
    <border>
      <left style="hair">
        <color indexed="64"/>
      </left>
      <right style="hair">
        <color indexed="64"/>
      </right>
      <top style="hair">
        <color indexed="64"/>
      </top>
      <bottom style="dotted">
        <color indexed="64"/>
      </bottom>
      <diagonal/>
    </border>
    <border>
      <left/>
      <right style="hair">
        <color indexed="64"/>
      </right>
      <top style="dotted">
        <color indexed="64"/>
      </top>
      <bottom style="hair">
        <color indexed="64"/>
      </bottom>
      <diagonal/>
    </border>
    <border>
      <left style="hair">
        <color indexed="64"/>
      </left>
      <right/>
      <top style="dott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dotted">
        <color indexed="64"/>
      </bottom>
      <diagonal/>
    </border>
    <border>
      <left style="thin">
        <color theme="1"/>
      </left>
      <right style="thin">
        <color theme="1"/>
      </right>
      <top style="thin">
        <color theme="1"/>
      </top>
      <bottom style="thin">
        <color theme="1"/>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dotted">
        <color indexed="64"/>
      </bottom>
      <diagonal/>
    </border>
    <border>
      <left/>
      <right/>
      <top style="thin">
        <color indexed="64"/>
      </top>
      <bottom style="double">
        <color indexed="64"/>
      </bottom>
      <diagonal/>
    </border>
    <border>
      <left/>
      <right/>
      <top/>
      <bottom style="double">
        <color indexed="64"/>
      </bottom>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medium">
        <color indexed="64"/>
      </top>
      <bottom style="dott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medium">
        <color indexed="64"/>
      </left>
      <right/>
      <top style="dashed">
        <color indexed="64"/>
      </top>
      <bottom style="thin">
        <color indexed="64"/>
      </bottom>
      <diagonal/>
    </border>
    <border>
      <left style="thin">
        <color indexed="64"/>
      </left>
      <right style="medium">
        <color indexed="64"/>
      </right>
      <top style="dashed">
        <color indexed="64"/>
      </top>
      <bottom style="dashed">
        <color indexed="64"/>
      </bottom>
      <diagonal/>
    </border>
    <border>
      <left style="thin">
        <color indexed="64"/>
      </left>
      <right style="thin">
        <color indexed="64"/>
      </right>
      <top style="dashed">
        <color indexed="64"/>
      </top>
      <bottom style="medium">
        <color indexed="64"/>
      </bottom>
      <diagonal/>
    </border>
    <border>
      <left style="thin">
        <color indexed="64"/>
      </left>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style="medium">
        <color indexed="64"/>
      </left>
      <right style="thin">
        <color indexed="64"/>
      </right>
      <top style="medium">
        <color indexed="64"/>
      </top>
      <bottom style="dashed">
        <color indexed="64"/>
      </bottom>
      <diagonal/>
    </border>
    <border>
      <left style="thin">
        <color indexed="64"/>
      </left>
      <right style="dashed">
        <color indexed="64"/>
      </right>
      <top style="medium">
        <color indexed="64"/>
      </top>
      <bottom style="dashed">
        <color indexed="64"/>
      </bottom>
      <diagonal/>
    </border>
    <border>
      <left style="thin">
        <color indexed="64"/>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style="medium">
        <color indexed="64"/>
      </right>
      <top style="medium">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dashed">
        <color indexed="64"/>
      </right>
      <top style="dashed">
        <color indexed="64"/>
      </top>
      <bottom style="dashed">
        <color indexed="64"/>
      </bottom>
      <diagonal/>
    </border>
    <border>
      <left style="medium">
        <color indexed="64"/>
      </left>
      <right style="thin">
        <color indexed="64"/>
      </right>
      <top style="dashed">
        <color indexed="64"/>
      </top>
      <bottom style="medium">
        <color indexed="64"/>
      </bottom>
      <diagonal/>
    </border>
    <border>
      <left style="thin">
        <color indexed="64"/>
      </left>
      <right style="dashed">
        <color indexed="64"/>
      </right>
      <top style="dashed">
        <color indexed="64"/>
      </top>
      <bottom style="medium">
        <color indexed="64"/>
      </bottom>
      <diagonal/>
    </border>
    <border>
      <left/>
      <right style="thin">
        <color indexed="64"/>
      </right>
      <top style="dashed">
        <color indexed="64"/>
      </top>
      <bottom style="medium">
        <color indexed="64"/>
      </bottom>
      <diagonal/>
    </border>
    <border>
      <left style="medium">
        <color auto="1"/>
      </left>
      <right style="double">
        <color auto="1"/>
      </right>
      <top style="thin">
        <color auto="1"/>
      </top>
      <bottom style="dashed">
        <color indexed="64"/>
      </bottom>
      <diagonal/>
    </border>
    <border>
      <left style="medium">
        <color auto="1"/>
      </left>
      <right style="double">
        <color auto="1"/>
      </right>
      <top style="dashed">
        <color indexed="64"/>
      </top>
      <bottom style="dashed">
        <color indexed="64"/>
      </bottom>
      <diagonal/>
    </border>
    <border>
      <left style="medium">
        <color auto="1"/>
      </left>
      <right style="double">
        <color auto="1"/>
      </right>
      <top style="dashed">
        <color indexed="64"/>
      </top>
      <bottom style="medium">
        <color indexed="64"/>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dotted">
        <color indexed="64"/>
      </top>
      <bottom/>
      <diagonal/>
    </border>
    <border>
      <left style="hair">
        <color indexed="64"/>
      </left>
      <right style="hair">
        <color indexed="64"/>
      </right>
      <top style="dotted">
        <color indexed="64"/>
      </top>
      <bottom/>
      <diagonal/>
    </border>
    <border>
      <left/>
      <right style="dotted">
        <color indexed="64"/>
      </right>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hair">
        <color indexed="64"/>
      </top>
      <bottom style="dotted">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thin">
        <color indexed="64"/>
      </left>
      <right style="thin">
        <color indexed="64"/>
      </right>
      <top style="hair">
        <color indexed="64"/>
      </top>
      <bottom/>
      <diagonal/>
    </border>
    <border>
      <left style="thin">
        <color indexed="64"/>
      </left>
      <right/>
      <top style="dotted">
        <color indexed="64"/>
      </top>
      <bottom style="hair">
        <color indexed="64"/>
      </bottom>
      <diagonal/>
    </border>
    <border>
      <left/>
      <right style="dotted">
        <color indexed="64"/>
      </right>
      <top style="dotted">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dotted">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hair">
        <color indexed="64"/>
      </right>
      <top style="dotted">
        <color indexed="64"/>
      </top>
      <bottom style="dotted">
        <color indexed="64"/>
      </bottom>
      <diagonal/>
    </border>
    <border>
      <left style="hair">
        <color indexed="64"/>
      </left>
      <right style="hair">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hair">
        <color indexed="64"/>
      </right>
      <top style="dotted">
        <color indexed="64"/>
      </top>
      <bottom style="thin">
        <color indexed="64"/>
      </bottom>
      <diagonal/>
    </border>
    <border diagonalUp="1">
      <left style="medium">
        <color indexed="64"/>
      </left>
      <right style="thin">
        <color indexed="64"/>
      </right>
      <top style="medium">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diagonalUp="1">
      <left style="medium">
        <color indexed="64"/>
      </left>
      <right style="thin">
        <color indexed="64"/>
      </right>
      <top/>
      <bottom style="thin">
        <color indexed="64"/>
      </bottom>
      <diagonal style="thin">
        <color indexed="64"/>
      </diagonal>
    </border>
    <border diagonalUp="1">
      <left style="medium">
        <color indexed="64"/>
      </left>
      <right style="thin">
        <color indexed="64"/>
      </right>
      <top style="medium">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left style="medium">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diagonalUp="1">
      <left style="medium">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diagonalUp="1">
      <left style="medium">
        <color indexed="64"/>
      </left>
      <right style="thin">
        <color indexed="64"/>
      </right>
      <top style="thin">
        <color indexed="64"/>
      </top>
      <bottom style="medium">
        <color indexed="64"/>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
      <left style="thin">
        <color indexed="64"/>
      </left>
      <right style="hair">
        <color indexed="64"/>
      </right>
      <top style="medium">
        <color indexed="64"/>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style="hair">
        <color indexed="64"/>
      </left>
      <right style="thin">
        <color indexed="64"/>
      </right>
      <top/>
      <bottom style="dashed">
        <color indexed="64"/>
      </bottom>
      <diagonal/>
    </border>
    <border>
      <left style="hair">
        <color indexed="64"/>
      </left>
      <right style="hair">
        <color indexed="64"/>
      </right>
      <top/>
      <bottom style="dashed">
        <color indexed="64"/>
      </bottom>
      <diagonal/>
    </border>
    <border>
      <left style="thin">
        <color indexed="64"/>
      </left>
      <right style="thin">
        <color indexed="64"/>
      </right>
      <top/>
      <bottom style="dashed">
        <color indexed="64"/>
      </bottom>
      <diagonal/>
    </border>
    <border>
      <left style="thin">
        <color indexed="64"/>
      </left>
      <right style="hair">
        <color indexed="64"/>
      </right>
      <top style="dashed">
        <color indexed="64"/>
      </top>
      <bottom style="dashed">
        <color indexed="64"/>
      </bottom>
      <diagonal/>
    </border>
    <border>
      <left style="hair">
        <color indexed="64"/>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diagonalUp="1">
      <left style="thin">
        <color indexed="64"/>
      </left>
      <right style="medium">
        <color indexed="64"/>
      </right>
      <top/>
      <bottom style="thin">
        <color indexed="64"/>
      </bottom>
      <diagonal style="thin">
        <color indexed="64"/>
      </diagonal>
    </border>
    <border>
      <left style="thin">
        <color indexed="64"/>
      </left>
      <right style="hair">
        <color indexed="64"/>
      </right>
      <top style="dashed">
        <color indexed="64"/>
      </top>
      <bottom style="thin">
        <color indexed="64"/>
      </bottom>
      <diagonal/>
    </border>
    <border>
      <left style="hair">
        <color indexed="64"/>
      </left>
      <right style="thin">
        <color indexed="64"/>
      </right>
      <top style="dashed">
        <color indexed="64"/>
      </top>
      <bottom style="thin">
        <color indexed="64"/>
      </bottom>
      <diagonal/>
    </border>
    <border>
      <left style="hair">
        <color indexed="64"/>
      </left>
      <right style="hair">
        <color indexed="64"/>
      </right>
      <top style="dashed">
        <color indexed="64"/>
      </top>
      <bottom style="thin">
        <color indexed="64"/>
      </bottom>
      <diagonal/>
    </border>
    <border diagonalUp="1">
      <left style="thin">
        <color indexed="64"/>
      </left>
      <right style="thin">
        <color indexed="64"/>
      </right>
      <top/>
      <bottom style="medium">
        <color indexed="64"/>
      </bottom>
      <diagonal style="thin">
        <color indexed="64"/>
      </diagonal>
    </border>
    <border diagonalUp="1">
      <left style="thin">
        <color indexed="64"/>
      </left>
      <right style="medium">
        <color indexed="64"/>
      </right>
      <top/>
      <bottom style="medium">
        <color indexed="64"/>
      </bottom>
      <diagonal style="thin">
        <color indexed="64"/>
      </diagonal>
    </border>
    <border>
      <left style="hair">
        <color indexed="64"/>
      </left>
      <right style="thin">
        <color indexed="64"/>
      </right>
      <top style="medium">
        <color indexed="64"/>
      </top>
      <bottom style="dashed">
        <color indexed="64"/>
      </bottom>
      <diagonal/>
    </border>
    <border>
      <left style="hair">
        <color indexed="64"/>
      </left>
      <right style="hair">
        <color indexed="64"/>
      </right>
      <top style="medium">
        <color indexed="64"/>
      </top>
      <bottom style="dashed">
        <color indexed="64"/>
      </bottom>
      <diagonal/>
    </border>
    <border>
      <left style="double">
        <color indexed="64"/>
      </left>
      <right style="double">
        <color indexed="64"/>
      </right>
      <top style="double">
        <color indexed="64"/>
      </top>
      <bottom style="medium">
        <color indexed="64"/>
      </bottom>
      <diagonal/>
    </border>
    <border>
      <left style="double">
        <color indexed="64"/>
      </left>
      <right style="double">
        <color indexed="64"/>
      </right>
      <top style="medium">
        <color indexed="64"/>
      </top>
      <bottom style="thin">
        <color indexed="64"/>
      </bottom>
      <diagonal/>
    </border>
    <border>
      <left style="double">
        <color indexed="64"/>
      </left>
      <right style="double">
        <color indexed="64"/>
      </right>
      <top style="thin">
        <color indexed="64"/>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thin">
        <color indexed="64"/>
      </left>
      <right style="hair">
        <color indexed="64"/>
      </right>
      <top/>
      <bottom/>
      <diagonal/>
    </border>
    <border>
      <left style="dotted">
        <color indexed="64"/>
      </left>
      <right style="dotted">
        <color indexed="64"/>
      </right>
      <top style="hair">
        <color indexed="64"/>
      </top>
      <bottom/>
      <diagonal/>
    </border>
    <border>
      <left style="dotted">
        <color indexed="64"/>
      </left>
      <right style="dotted">
        <color indexed="64"/>
      </right>
      <top/>
      <bottom/>
      <diagonal/>
    </border>
    <border>
      <left style="thin">
        <color indexed="64"/>
      </left>
      <right style="hair">
        <color indexed="64"/>
      </right>
      <top style="thin">
        <color indexed="64"/>
      </top>
      <bottom/>
      <diagonal/>
    </border>
    <border>
      <left/>
      <right style="dotted">
        <color indexed="64"/>
      </right>
      <top style="dotted">
        <color indexed="64"/>
      </top>
      <bottom/>
      <diagonal/>
    </border>
    <border>
      <left style="hair">
        <color indexed="64"/>
      </left>
      <right/>
      <top style="thin">
        <color indexed="64"/>
      </top>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style="hair">
        <color indexed="64"/>
      </top>
      <bottom/>
      <diagonal/>
    </border>
    <border>
      <left/>
      <right style="dotted">
        <color indexed="64"/>
      </right>
      <top style="hair">
        <color indexed="64"/>
      </top>
      <bottom/>
      <diagonal/>
    </border>
    <border>
      <left style="hair">
        <color indexed="64"/>
      </left>
      <right/>
      <top style="dotted">
        <color indexed="64"/>
      </top>
      <bottom style="dotted">
        <color indexed="64"/>
      </bottom>
      <diagonal/>
    </border>
    <border>
      <left style="hair">
        <color indexed="64"/>
      </left>
      <right/>
      <top style="dotted">
        <color indexed="64"/>
      </top>
      <bottom style="thin">
        <color indexed="64"/>
      </bottom>
      <diagonal/>
    </border>
    <border>
      <left style="medium">
        <color indexed="64"/>
      </left>
      <right style="medium">
        <color indexed="64"/>
      </right>
      <top style="thin">
        <color indexed="64"/>
      </top>
      <bottom/>
      <diagonal/>
    </border>
    <border>
      <left style="dotted">
        <color indexed="64"/>
      </left>
      <right style="dotted">
        <color indexed="64"/>
      </right>
      <top style="thin">
        <color indexed="64"/>
      </top>
      <bottom/>
      <diagonal/>
    </border>
    <border>
      <left style="thin">
        <color indexed="64"/>
      </left>
      <right style="hair">
        <color indexed="64"/>
      </right>
      <top/>
      <bottom style="thin">
        <color indexed="64"/>
      </bottom>
      <diagonal/>
    </border>
    <border>
      <left/>
      <right style="dotted">
        <color indexed="64"/>
      </right>
      <top style="hair">
        <color indexed="64"/>
      </top>
      <bottom style="thin">
        <color indexed="64"/>
      </bottom>
      <diagonal/>
    </border>
    <border>
      <left style="dotted">
        <color indexed="64"/>
      </left>
      <right style="dotted">
        <color indexed="64"/>
      </right>
      <top style="hair">
        <color indexed="64"/>
      </top>
      <bottom style="thin">
        <color indexed="64"/>
      </bottom>
      <diagonal/>
    </border>
    <border diagonalUp="1">
      <left style="medium">
        <color indexed="64"/>
      </left>
      <right style="medium">
        <color indexed="64"/>
      </right>
      <top style="thin">
        <color indexed="64"/>
      </top>
      <bottom style="thin">
        <color indexed="64"/>
      </bottom>
      <diagonal style="thin">
        <color indexed="64"/>
      </diagonal>
    </border>
    <border>
      <left style="thin">
        <color indexed="64"/>
      </left>
      <right style="dotted">
        <color indexed="64"/>
      </right>
      <top/>
      <bottom/>
      <diagonal/>
    </border>
    <border>
      <left/>
      <right style="hair">
        <color indexed="64"/>
      </right>
      <top style="hair">
        <color indexed="64"/>
      </top>
      <bottom style="hair">
        <color indexed="64"/>
      </bottom>
      <diagonal/>
    </border>
    <border>
      <left style="hair">
        <color indexed="64"/>
      </left>
      <right style="medium">
        <color indexed="64"/>
      </right>
      <top/>
      <bottom/>
      <diagonal/>
    </border>
    <border>
      <left style="hair">
        <color indexed="64"/>
      </left>
      <right/>
      <top style="hair">
        <color indexed="64"/>
      </top>
      <bottom/>
      <diagonal/>
    </border>
    <border>
      <left style="hair">
        <color indexed="64"/>
      </left>
      <right/>
      <top/>
      <bottom style="medium">
        <color indexed="64"/>
      </bottom>
      <diagonal/>
    </border>
    <border>
      <left style="hair">
        <color indexed="64"/>
      </left>
      <right/>
      <top style="hair">
        <color indexed="64"/>
      </top>
      <bottom style="medium">
        <color indexed="64"/>
      </bottom>
      <diagonal/>
    </border>
    <border>
      <left style="hair">
        <color indexed="64"/>
      </left>
      <right style="medium">
        <color indexed="64"/>
      </right>
      <top/>
      <bottom style="medium">
        <color indexed="64"/>
      </bottom>
      <diagonal/>
    </border>
    <border>
      <left style="thin">
        <color indexed="64"/>
      </left>
      <right style="hair">
        <color indexed="64"/>
      </right>
      <top style="medium">
        <color indexed="64"/>
      </top>
      <bottom style="dotted">
        <color indexed="64"/>
      </bottom>
      <diagonal/>
    </border>
    <border>
      <left style="hair">
        <color indexed="64"/>
      </left>
      <right style="hair">
        <color indexed="64"/>
      </right>
      <top style="medium">
        <color indexed="64"/>
      </top>
      <bottom style="dotted">
        <color indexed="64"/>
      </bottom>
      <diagonal/>
    </border>
    <border>
      <left style="hair">
        <color indexed="64"/>
      </left>
      <right/>
      <top style="medium">
        <color indexed="64"/>
      </top>
      <bottom style="dotted">
        <color indexed="64"/>
      </bottom>
      <diagonal/>
    </border>
    <border>
      <left style="hair">
        <color indexed="64"/>
      </left>
      <right style="thin">
        <color indexed="64"/>
      </right>
      <top style="medium">
        <color indexed="64"/>
      </top>
      <bottom style="dotted">
        <color indexed="64"/>
      </bottom>
      <diagonal/>
    </border>
    <border>
      <left style="thin">
        <color indexed="64"/>
      </left>
      <right style="thin">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thin">
        <color indexed="64"/>
      </top>
      <bottom style="medium">
        <color indexed="64"/>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diagonal/>
    </border>
    <border>
      <left style="hair">
        <color indexed="64"/>
      </left>
      <right style="hair">
        <color indexed="64"/>
      </right>
      <top/>
      <bottom/>
      <diagonal/>
    </border>
    <border>
      <left style="hair">
        <color indexed="64"/>
      </left>
      <right style="thin">
        <color indexed="64"/>
      </right>
      <top/>
      <bottom/>
      <diagonal/>
    </border>
    <border>
      <left style="double">
        <color indexed="64"/>
      </left>
      <right style="double">
        <color indexed="64"/>
      </right>
      <top style="thin">
        <color indexed="64"/>
      </top>
      <bottom style="double">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dashed">
        <color indexed="64"/>
      </bottom>
      <diagonal/>
    </border>
    <border>
      <left style="dotted">
        <color indexed="64"/>
      </left>
      <right style="dotted">
        <color indexed="64"/>
      </right>
      <top style="thin">
        <color indexed="64"/>
      </top>
      <bottom style="dashed">
        <color indexed="64"/>
      </bottom>
      <diagonal/>
    </border>
    <border>
      <left style="dotted">
        <color indexed="64"/>
      </left>
      <right style="thin">
        <color indexed="64"/>
      </right>
      <top style="thin">
        <color indexed="64"/>
      </top>
      <bottom style="dashed">
        <color indexed="64"/>
      </bottom>
      <diagonal/>
    </border>
    <border>
      <left style="thin">
        <color indexed="64"/>
      </left>
      <right style="dotted">
        <color indexed="64"/>
      </right>
      <top style="dashed">
        <color indexed="64"/>
      </top>
      <bottom style="dashed">
        <color indexed="64"/>
      </bottom>
      <diagonal/>
    </border>
    <border>
      <left style="dotted">
        <color indexed="64"/>
      </left>
      <right style="dotted">
        <color indexed="64"/>
      </right>
      <top style="dashed">
        <color indexed="64"/>
      </top>
      <bottom style="dashed">
        <color indexed="64"/>
      </bottom>
      <diagonal/>
    </border>
    <border>
      <left style="dotted">
        <color indexed="64"/>
      </left>
      <right style="thin">
        <color indexed="64"/>
      </right>
      <top style="dashed">
        <color indexed="64"/>
      </top>
      <bottom style="dashed">
        <color indexed="64"/>
      </bottom>
      <diagonal/>
    </border>
    <border>
      <left style="thin">
        <color indexed="64"/>
      </left>
      <right style="dotted">
        <color indexed="64"/>
      </right>
      <top style="dashed">
        <color indexed="64"/>
      </top>
      <bottom style="thin">
        <color indexed="64"/>
      </bottom>
      <diagonal/>
    </border>
    <border>
      <left style="dotted">
        <color indexed="64"/>
      </left>
      <right style="dotted">
        <color indexed="64"/>
      </right>
      <top style="dashed">
        <color indexed="64"/>
      </top>
      <bottom style="thin">
        <color indexed="64"/>
      </bottom>
      <diagonal/>
    </border>
    <border>
      <left style="dotted">
        <color indexed="64"/>
      </left>
      <right style="thin">
        <color indexed="64"/>
      </right>
      <top style="dashed">
        <color indexed="64"/>
      </top>
      <bottom style="thin">
        <color indexed="64"/>
      </bottom>
      <diagonal/>
    </border>
    <border diagonalUp="1">
      <left style="thin">
        <color indexed="64"/>
      </left>
      <right style="dotted">
        <color indexed="64"/>
      </right>
      <top style="thin">
        <color indexed="64"/>
      </top>
      <bottom style="thin">
        <color indexed="64"/>
      </bottom>
      <diagonal style="thin">
        <color indexed="64"/>
      </diagonal>
    </border>
    <border>
      <left style="thin">
        <color indexed="64"/>
      </left>
      <right style="thin">
        <color indexed="64"/>
      </right>
      <top style="thin">
        <color indexed="64"/>
      </top>
      <bottom style="hair">
        <color indexed="64"/>
      </bottom>
      <diagonal/>
    </border>
    <border>
      <left style="thin">
        <color indexed="64"/>
      </left>
      <right style="dotted">
        <color indexed="64"/>
      </right>
      <top style="thin">
        <color indexed="64"/>
      </top>
      <bottom style="hair">
        <color indexed="64"/>
      </bottom>
      <diagonal/>
    </border>
    <border>
      <left style="dotted">
        <color indexed="64"/>
      </left>
      <right style="dotted">
        <color indexed="64"/>
      </right>
      <top style="thin">
        <color indexed="64"/>
      </top>
      <bottom style="hair">
        <color indexed="64"/>
      </bottom>
      <diagonal/>
    </border>
    <border>
      <left style="dotted">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thin">
        <color indexed="64"/>
      </left>
      <right style="dotted">
        <color indexed="64"/>
      </right>
      <top style="hair">
        <color indexed="64"/>
      </top>
      <bottom/>
      <diagonal/>
    </border>
    <border>
      <left style="dotted">
        <color indexed="64"/>
      </left>
      <right style="medium">
        <color indexed="64"/>
      </right>
      <top style="hair">
        <color indexed="64"/>
      </top>
      <bottom/>
      <diagonal/>
    </border>
    <border>
      <left style="medium">
        <color indexed="64"/>
      </left>
      <right style="medium">
        <color indexed="64"/>
      </right>
      <top style="hair">
        <color indexed="64"/>
      </top>
      <bottom/>
      <diagonal/>
    </border>
    <border>
      <left style="dotted">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medium">
        <color indexed="64"/>
      </bottom>
      <diagonal/>
    </border>
    <border>
      <left style="dotted">
        <color indexed="64"/>
      </left>
      <right style="thin">
        <color theme="1"/>
      </right>
      <top style="dotted">
        <color indexed="64"/>
      </top>
      <bottom style="hair">
        <color indexed="64"/>
      </bottom>
      <diagonal/>
    </border>
    <border>
      <left style="dotted">
        <color indexed="64"/>
      </left>
      <right style="thin">
        <color theme="1"/>
      </right>
      <top/>
      <bottom/>
      <diagonal/>
    </border>
    <border>
      <left style="dotted">
        <color indexed="64"/>
      </left>
      <right style="thin">
        <color theme="1"/>
      </right>
      <top style="hair">
        <color indexed="64"/>
      </top>
      <bottom style="dotted">
        <color indexed="64"/>
      </bottom>
      <diagonal/>
    </border>
    <border>
      <left style="dotted">
        <color indexed="64"/>
      </left>
      <right/>
      <top/>
      <bottom style="dotted">
        <color indexed="64"/>
      </bottom>
      <diagonal/>
    </border>
    <border>
      <left style="dotted">
        <color indexed="64"/>
      </left>
      <right style="thin">
        <color theme="1"/>
      </right>
      <top/>
      <bottom style="hair">
        <color indexed="64"/>
      </bottom>
      <diagonal/>
    </border>
    <border>
      <left style="dotted">
        <color indexed="64"/>
      </left>
      <right style="thin">
        <color theme="1"/>
      </right>
      <top style="hair">
        <color indexed="64"/>
      </top>
      <bottom style="thin">
        <color indexed="64"/>
      </bottom>
      <diagonal/>
    </border>
    <border>
      <left style="double">
        <color indexed="64"/>
      </left>
      <right/>
      <top style="medium">
        <color indexed="64"/>
      </top>
      <bottom style="medium">
        <color indexed="64"/>
      </bottom>
      <diagonal/>
    </border>
    <border>
      <left style="double">
        <color indexed="64"/>
      </left>
      <right style="double">
        <color indexed="64"/>
      </right>
      <top/>
      <bottom style="thin">
        <color indexed="64"/>
      </bottom>
      <diagonal/>
    </border>
    <border>
      <left style="thin">
        <color indexed="64"/>
      </left>
      <right style="dotted">
        <color indexed="64"/>
      </right>
      <top style="dotted">
        <color indexed="64"/>
      </top>
      <bottom/>
      <diagonal/>
    </border>
    <border>
      <left/>
      <right/>
      <top style="hair">
        <color indexed="64"/>
      </top>
      <bottom style="medium">
        <color indexed="64"/>
      </bottom>
      <diagonal/>
    </border>
    <border>
      <left/>
      <right style="dotted">
        <color indexed="64"/>
      </right>
      <top style="hair">
        <color indexed="64"/>
      </top>
      <bottom style="medium">
        <color indexed="64"/>
      </bottom>
      <diagonal/>
    </border>
    <border>
      <left style="thin">
        <color indexed="64"/>
      </left>
      <right style="dotted">
        <color indexed="64"/>
      </right>
      <top/>
      <bottom style="medium">
        <color auto="1"/>
      </bottom>
      <diagonal/>
    </border>
    <border>
      <left/>
      <right style="dotted">
        <color indexed="64"/>
      </right>
      <top style="medium">
        <color indexed="64"/>
      </top>
      <bottom/>
      <diagonal/>
    </border>
    <border>
      <left/>
      <right/>
      <top style="medium">
        <color indexed="64"/>
      </top>
      <bottom style="dashed">
        <color indexed="64"/>
      </bottom>
      <diagonal/>
    </border>
    <border>
      <left style="thin">
        <color indexed="64"/>
      </left>
      <right style="dotted">
        <color indexed="64"/>
      </right>
      <top style="medium">
        <color indexed="64"/>
      </top>
      <bottom/>
      <diagonal/>
    </border>
    <border>
      <left style="hair">
        <color indexed="64"/>
      </left>
      <right/>
      <top style="dashed">
        <color indexed="64"/>
      </top>
      <bottom/>
      <diagonal/>
    </border>
    <border>
      <left/>
      <right/>
      <top style="dashed">
        <color indexed="64"/>
      </top>
      <bottom style="hair">
        <color indexed="64"/>
      </bottom>
      <diagonal/>
    </border>
    <border>
      <left/>
      <right style="dotted">
        <color indexed="64"/>
      </right>
      <top style="dashed">
        <color indexed="64"/>
      </top>
      <bottom style="hair">
        <color indexed="64"/>
      </bottom>
      <diagonal/>
    </border>
    <border>
      <left/>
      <right style="thin">
        <color indexed="64"/>
      </right>
      <top style="dashed">
        <color indexed="64"/>
      </top>
      <bottom style="hair">
        <color indexed="64"/>
      </bottom>
      <diagonal/>
    </border>
    <border>
      <left style="thin">
        <color indexed="64"/>
      </left>
      <right style="dotted">
        <color indexed="64"/>
      </right>
      <top style="dashed">
        <color indexed="64"/>
      </top>
      <bottom/>
      <diagonal/>
    </border>
    <border>
      <left style="hair">
        <color indexed="64"/>
      </left>
      <right style="dotted">
        <color indexed="64"/>
      </right>
      <top style="hair">
        <color indexed="64"/>
      </top>
      <bottom/>
      <diagonal/>
    </border>
    <border>
      <left/>
      <right style="hair">
        <color indexed="64"/>
      </right>
      <top style="hair">
        <color indexed="64"/>
      </top>
      <bottom/>
      <diagonal/>
    </border>
    <border>
      <left style="hair">
        <color indexed="64"/>
      </left>
      <right/>
      <top/>
      <bottom style="dashed">
        <color indexed="64"/>
      </bottom>
      <diagonal/>
    </border>
    <border>
      <left style="thin">
        <color indexed="64"/>
      </left>
      <right style="hair">
        <color indexed="64"/>
      </right>
      <top/>
      <bottom style="dashed">
        <color indexed="64"/>
      </bottom>
      <diagonal/>
    </border>
    <border>
      <left style="hair">
        <color indexed="64"/>
      </left>
      <right style="dotted">
        <color indexed="64"/>
      </right>
      <top style="hair">
        <color indexed="64"/>
      </top>
      <bottom style="dashed">
        <color indexed="64"/>
      </bottom>
      <diagonal/>
    </border>
    <border>
      <left style="thin">
        <color indexed="64"/>
      </left>
      <right style="dotted">
        <color indexed="64"/>
      </right>
      <top/>
      <bottom style="dashed">
        <color indexed="64"/>
      </bottom>
      <diagonal/>
    </border>
    <border>
      <left style="hair">
        <color indexed="64"/>
      </left>
      <right/>
      <top style="dashed">
        <color indexed="64"/>
      </top>
      <bottom style="thin">
        <color indexed="64"/>
      </bottom>
      <diagonal/>
    </border>
    <border>
      <left/>
      <right style="dotted">
        <color indexed="64"/>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top style="hair">
        <color indexed="64"/>
      </top>
      <bottom style="dashed">
        <color indexed="64"/>
      </bottom>
      <diagonal/>
    </border>
    <border>
      <left/>
      <right style="dotted">
        <color indexed="64"/>
      </right>
      <top style="hair">
        <color indexed="64"/>
      </top>
      <bottom style="dashed">
        <color indexed="64"/>
      </bottom>
      <diagonal/>
    </border>
    <border>
      <left/>
      <right/>
      <top style="hair">
        <color indexed="64"/>
      </top>
      <bottom style="dashed">
        <color indexed="64"/>
      </bottom>
      <diagonal/>
    </border>
    <border>
      <left/>
      <right style="thin">
        <color indexed="64"/>
      </right>
      <top style="hair">
        <color indexed="64"/>
      </top>
      <bottom style="dashed">
        <color indexed="64"/>
      </bottom>
      <diagonal/>
    </border>
    <border>
      <left style="hair">
        <color indexed="64"/>
      </left>
      <right/>
      <top style="dashed">
        <color indexed="64"/>
      </top>
      <bottom style="dashed">
        <color indexed="64"/>
      </bottom>
      <diagonal/>
    </border>
    <border>
      <left/>
      <right style="hair">
        <color indexed="64"/>
      </right>
      <top style="dashed">
        <color indexed="64"/>
      </top>
      <bottom style="dashed">
        <color indexed="64"/>
      </bottom>
      <diagonal/>
    </border>
    <border>
      <left/>
      <right style="dotted">
        <color indexed="64"/>
      </right>
      <top style="dashed">
        <color indexed="64"/>
      </top>
      <bottom/>
      <diagonal/>
    </border>
    <border>
      <left style="dotted">
        <color indexed="64"/>
      </left>
      <right/>
      <top style="dashed">
        <color indexed="64"/>
      </top>
      <bottom/>
      <diagonal/>
    </border>
    <border>
      <left/>
      <right style="hair">
        <color indexed="64"/>
      </right>
      <top style="dashed">
        <color indexed="64"/>
      </top>
      <bottom/>
      <diagonal/>
    </border>
    <border>
      <left/>
      <right style="hair">
        <color indexed="64"/>
      </right>
      <top/>
      <bottom style="dashed">
        <color indexed="64"/>
      </bottom>
      <diagonal/>
    </border>
    <border>
      <left style="dotted">
        <color indexed="64"/>
      </left>
      <right/>
      <top style="dashed">
        <color indexed="64"/>
      </top>
      <bottom style="thin">
        <color indexed="64"/>
      </bottom>
      <diagonal/>
    </border>
    <border>
      <left style="dotted">
        <color indexed="64"/>
      </left>
      <right/>
      <top style="hair">
        <color indexed="64"/>
      </top>
      <bottom style="medium">
        <color indexed="64"/>
      </bottom>
      <diagonal/>
    </border>
    <border>
      <left/>
      <right style="hair">
        <color indexed="64"/>
      </right>
      <top style="thin">
        <color indexed="64"/>
      </top>
      <bottom style="dashed">
        <color indexed="64"/>
      </bottom>
      <diagonal/>
    </border>
    <border>
      <left style="thin">
        <color indexed="64"/>
      </left>
      <right/>
      <top style="dashed">
        <color indexed="64"/>
      </top>
      <bottom style="hair">
        <color indexed="64"/>
      </bottom>
      <diagonal/>
    </border>
    <border>
      <left style="hair">
        <color indexed="64"/>
      </left>
      <right style="thin">
        <color indexed="64"/>
      </right>
      <top style="dashed">
        <color indexed="64"/>
      </top>
      <bottom/>
      <diagonal/>
    </border>
    <border diagonalUp="1">
      <left style="medium">
        <color indexed="64"/>
      </left>
      <right style="medium">
        <color indexed="64"/>
      </right>
      <top style="medium">
        <color indexed="64"/>
      </top>
      <bottom style="thin">
        <color indexed="64"/>
      </bottom>
      <diagonal style="thin">
        <color indexed="64"/>
      </diagonal>
    </border>
    <border diagonalUp="1">
      <left style="medium">
        <color indexed="64"/>
      </left>
      <right style="medium">
        <color indexed="64"/>
      </right>
      <top style="thin">
        <color indexed="64"/>
      </top>
      <bottom style="medium">
        <color indexed="64"/>
      </bottom>
      <diagonal style="thin">
        <color indexed="64"/>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bottom/>
      <diagonal style="thin">
        <color indexed="64"/>
      </diagonal>
    </border>
    <border diagonalUp="1">
      <left style="medium">
        <color indexed="64"/>
      </left>
      <right style="medium">
        <color indexed="64"/>
      </right>
      <top/>
      <bottom style="medium">
        <color indexed="64"/>
      </bottom>
      <diagonal style="thin">
        <color indexed="64"/>
      </diagonal>
    </border>
    <border>
      <left style="double">
        <color indexed="64"/>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style="double">
        <color indexed="64"/>
      </left>
      <right style="double">
        <color indexed="64"/>
      </right>
      <top style="thin">
        <color indexed="64"/>
      </top>
      <bottom/>
      <diagonal/>
    </border>
    <border>
      <left style="double">
        <color indexed="64"/>
      </left>
      <right/>
      <top style="thin">
        <color indexed="64"/>
      </top>
      <bottom/>
      <diagonal/>
    </border>
    <border>
      <left style="double">
        <color indexed="64"/>
      </left>
      <right style="double">
        <color indexed="64"/>
      </right>
      <top/>
      <bottom/>
      <diagonal/>
    </border>
    <border>
      <left style="double">
        <color indexed="64"/>
      </left>
      <right/>
      <top style="thin">
        <color indexed="64"/>
      </top>
      <bottom style="thin">
        <color indexed="64"/>
      </bottom>
      <diagonal/>
    </border>
    <border diagonalUp="1">
      <left style="double">
        <color indexed="64"/>
      </left>
      <right style="double">
        <color indexed="64"/>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right/>
      <top style="double">
        <color indexed="64"/>
      </top>
      <bottom/>
      <diagonal/>
    </border>
    <border>
      <left style="hair">
        <color indexed="64"/>
      </left>
      <right/>
      <top style="dashed">
        <color indexed="64"/>
      </top>
      <bottom style="hair">
        <color indexed="64"/>
      </bottom>
      <diagonal/>
    </border>
    <border>
      <left style="thin">
        <color indexed="64"/>
      </left>
      <right style="dotted">
        <color indexed="64"/>
      </right>
      <top style="dashed">
        <color indexed="64"/>
      </top>
      <bottom style="hair">
        <color indexed="64"/>
      </bottom>
      <diagonal/>
    </border>
    <border>
      <left/>
      <right style="dotted">
        <color indexed="64"/>
      </right>
      <top style="hair">
        <color indexed="64"/>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top style="dashed">
        <color indexed="64"/>
      </top>
      <bottom style="hair">
        <color indexed="64"/>
      </bottom>
      <diagonal/>
    </border>
    <border>
      <left style="dotted">
        <color indexed="64"/>
      </left>
      <right/>
      <top style="hair">
        <color indexed="64"/>
      </top>
      <bottom style="hair">
        <color indexed="64"/>
      </bottom>
      <diagonal/>
    </border>
    <border>
      <left style="dotted">
        <color indexed="64"/>
      </left>
      <right style="dotted">
        <color indexed="64"/>
      </right>
      <top style="dashed">
        <color indexed="64"/>
      </top>
      <bottom/>
      <diagonal/>
    </border>
    <border>
      <left style="dotted">
        <color indexed="64"/>
      </left>
      <right style="dotted">
        <color indexed="64"/>
      </right>
      <top style="hair">
        <color indexed="64"/>
      </top>
      <bottom style="hair">
        <color indexed="64"/>
      </bottom>
      <diagonal/>
    </border>
    <border>
      <left style="thin">
        <color indexed="64"/>
      </left>
      <right/>
      <top style="hair">
        <color indexed="64"/>
      </top>
      <bottom style="medium">
        <color indexed="64"/>
      </bottom>
      <diagonal/>
    </border>
    <border>
      <left style="dotted">
        <color indexed="64"/>
      </left>
      <right style="dotted">
        <color indexed="64"/>
      </right>
      <top style="hair">
        <color indexed="64"/>
      </top>
      <bottom style="medium">
        <color indexed="64"/>
      </bottom>
      <diagonal/>
    </border>
    <border>
      <left style="dotted">
        <color indexed="64"/>
      </left>
      <right style="dotted">
        <color indexed="64"/>
      </right>
      <top style="dashed">
        <color indexed="64"/>
      </top>
      <bottom style="hair">
        <color indexed="64"/>
      </bottom>
      <diagonal/>
    </border>
    <border>
      <left style="dotted">
        <color indexed="64"/>
      </left>
      <right style="thin">
        <color indexed="64"/>
      </right>
      <top style="dashed">
        <color indexed="64"/>
      </top>
      <bottom/>
      <diagonal/>
    </border>
    <border>
      <left style="dotted">
        <color indexed="64"/>
      </left>
      <right style="thin">
        <color indexed="64"/>
      </right>
      <top/>
      <bottom/>
      <diagonal/>
    </border>
    <border>
      <left style="dotted">
        <color indexed="64"/>
      </left>
      <right style="thin">
        <color indexed="64"/>
      </right>
      <top/>
      <bottom style="dashed">
        <color indexed="64"/>
      </bottom>
      <diagonal/>
    </border>
    <border>
      <left style="dotted">
        <color indexed="64"/>
      </left>
      <right style="dotted">
        <color indexed="64"/>
      </right>
      <top style="hair">
        <color indexed="64"/>
      </top>
      <bottom style="dashed">
        <color indexed="64"/>
      </bottom>
      <diagonal/>
    </border>
    <border>
      <left style="dotted">
        <color indexed="64"/>
      </left>
      <right/>
      <top style="hair">
        <color indexed="64"/>
      </top>
      <bottom style="dashed">
        <color indexed="64"/>
      </bottom>
      <diagonal/>
    </border>
    <border>
      <left style="hair">
        <color indexed="64"/>
      </left>
      <right style="thin">
        <color indexed="64"/>
      </right>
      <top style="dashed">
        <color indexed="64"/>
      </top>
      <bottom style="hair">
        <color indexed="64"/>
      </bottom>
      <diagonal/>
    </border>
    <border>
      <left style="hair">
        <color indexed="64"/>
      </left>
      <right style="thin">
        <color indexed="64"/>
      </right>
      <top style="hair">
        <color indexed="64"/>
      </top>
      <bottom style="dashed">
        <color indexed="64"/>
      </bottom>
      <diagonal/>
    </border>
    <border>
      <left style="hair">
        <color indexed="64"/>
      </left>
      <right style="thin">
        <color indexed="64"/>
      </right>
      <top style="thin">
        <color indexed="64"/>
      </top>
      <bottom style="dashed">
        <color indexed="64"/>
      </bottom>
      <diagonal/>
    </border>
    <border>
      <left style="hair">
        <color indexed="64"/>
      </left>
      <right style="hair">
        <color indexed="64"/>
      </right>
      <top style="dashed">
        <color indexed="64"/>
      </top>
      <bottom/>
      <diagonal/>
    </border>
    <border>
      <left style="hair">
        <color indexed="64"/>
      </left>
      <right/>
      <top style="dotted">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dashed">
        <color indexed="64"/>
      </bottom>
      <diagonal/>
    </border>
    <border>
      <left/>
      <right style="dotted">
        <color indexed="64"/>
      </right>
      <top style="medium">
        <color indexed="64"/>
      </top>
      <bottom style="hair">
        <color indexed="64"/>
      </bottom>
      <diagonal/>
    </border>
    <border>
      <left style="dotted">
        <color indexed="64"/>
      </left>
      <right/>
      <top style="medium">
        <color indexed="64"/>
      </top>
      <bottom style="hair">
        <color indexed="64"/>
      </bottom>
      <diagonal/>
    </border>
    <border>
      <left/>
      <right style="thin">
        <color indexed="64"/>
      </right>
      <top style="medium">
        <color indexed="64"/>
      </top>
      <bottom style="hair">
        <color indexed="64"/>
      </bottom>
      <diagonal/>
    </border>
    <border>
      <left style="dotted">
        <color indexed="64"/>
      </left>
      <right/>
      <top style="hair">
        <color indexed="64"/>
      </top>
      <bottom style="thin">
        <color indexed="64"/>
      </bottom>
      <diagonal/>
    </border>
    <border>
      <left/>
      <right style="dotted">
        <color indexed="64"/>
      </right>
      <top style="thin">
        <color indexed="64"/>
      </top>
      <bottom style="hair">
        <color indexed="64"/>
      </bottom>
      <diagonal/>
    </border>
    <border>
      <left style="dotted">
        <color indexed="64"/>
      </left>
      <right/>
      <top style="thin">
        <color indexed="64"/>
      </top>
      <bottom style="hair">
        <color indexed="64"/>
      </bottom>
      <diagonal/>
    </border>
    <border>
      <left style="medium">
        <color indexed="64"/>
      </left>
      <right style="medium">
        <color indexed="64"/>
      </right>
      <top/>
      <bottom style="double">
        <color indexed="64"/>
      </bottom>
      <diagonal/>
    </border>
    <border>
      <left style="thin">
        <color indexed="64"/>
      </left>
      <right style="dotted">
        <color indexed="64"/>
      </right>
      <top style="hair">
        <color indexed="64"/>
      </top>
      <bottom style="dashed">
        <color indexed="64"/>
      </bottom>
      <diagonal/>
    </border>
    <border>
      <left style="thin">
        <color indexed="64"/>
      </left>
      <right style="dotted">
        <color indexed="64"/>
      </right>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dotted">
        <color indexed="64"/>
      </right>
      <top style="medium">
        <color indexed="64"/>
      </top>
      <bottom style="dashed">
        <color indexed="64"/>
      </bottom>
      <diagonal/>
    </border>
    <border>
      <left style="hair">
        <color indexed="64"/>
      </left>
      <right style="dotted">
        <color indexed="64"/>
      </right>
      <top style="dashed">
        <color indexed="64"/>
      </top>
      <bottom style="dashed">
        <color indexed="64"/>
      </bottom>
      <diagonal/>
    </border>
    <border>
      <left style="hair">
        <color indexed="64"/>
      </left>
      <right style="dotted">
        <color indexed="64"/>
      </right>
      <top style="dashed">
        <color indexed="64"/>
      </top>
      <bottom style="thin">
        <color indexed="64"/>
      </bottom>
      <diagonal/>
    </border>
    <border>
      <left style="dotted">
        <color indexed="64"/>
      </left>
      <right/>
      <top style="dotted">
        <color indexed="64"/>
      </top>
      <bottom style="hair">
        <color indexed="64"/>
      </bottom>
      <diagonal/>
    </border>
    <border>
      <left style="dotted">
        <color indexed="64"/>
      </left>
      <right style="hair">
        <color indexed="64"/>
      </right>
      <top style="hair">
        <color indexed="64"/>
      </top>
      <bottom style="medium">
        <color indexed="64"/>
      </bottom>
      <diagonal/>
    </border>
    <border>
      <left style="dotted">
        <color indexed="64"/>
      </left>
      <right style="hair">
        <color indexed="64"/>
      </right>
      <top style="medium">
        <color indexed="64"/>
      </top>
      <bottom style="dashed">
        <color indexed="64"/>
      </bottom>
      <diagonal/>
    </border>
    <border>
      <left style="dotted">
        <color indexed="64"/>
      </left>
      <right style="hair">
        <color indexed="64"/>
      </right>
      <top style="dashed">
        <color indexed="64"/>
      </top>
      <bottom style="dashed">
        <color indexed="64"/>
      </bottom>
      <diagonal/>
    </border>
    <border>
      <left style="dotted">
        <color indexed="64"/>
      </left>
      <right style="hair">
        <color indexed="64"/>
      </right>
      <top style="dashed">
        <color indexed="64"/>
      </top>
      <bottom style="thin">
        <color indexed="64"/>
      </bottom>
      <diagonal/>
    </border>
    <border>
      <left/>
      <right style="dotted">
        <color indexed="64"/>
      </right>
      <top/>
      <bottom style="dashed">
        <color indexed="64"/>
      </bottom>
      <diagonal/>
    </border>
    <border>
      <left/>
      <right/>
      <top/>
      <bottom style="dashed">
        <color indexed="64"/>
      </bottom>
      <diagonal/>
    </border>
    <border diagonalUp="1">
      <left style="thin">
        <color indexed="64"/>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hair">
        <color indexed="64"/>
      </left>
      <right/>
      <top style="hair">
        <color indexed="64"/>
      </top>
      <bottom style="thin">
        <color indexed="64"/>
      </bottom>
      <diagonal/>
    </border>
    <border>
      <left/>
      <right style="medium">
        <color indexed="64"/>
      </right>
      <top style="thin">
        <color indexed="64"/>
      </top>
      <bottom style="medium">
        <color indexed="64"/>
      </bottom>
      <diagonal/>
    </border>
    <border>
      <left style="hair">
        <color indexed="64"/>
      </left>
      <right style="dotted">
        <color indexed="64"/>
      </right>
      <top style="hair">
        <color indexed="64"/>
      </top>
      <bottom style="hair">
        <color indexed="64"/>
      </bottom>
      <diagonal/>
    </border>
    <border>
      <left style="dotted">
        <color indexed="64"/>
      </left>
      <right/>
      <top style="dotted">
        <color indexed="64"/>
      </top>
      <bottom style="thin">
        <color indexed="64"/>
      </bottom>
      <diagonal/>
    </border>
    <border>
      <left style="hair">
        <color indexed="64"/>
      </left>
      <right style="dotted">
        <color indexed="64"/>
      </right>
      <top style="hair">
        <color indexed="64"/>
      </top>
      <bottom style="thin">
        <color indexed="64"/>
      </bottom>
      <diagonal/>
    </border>
    <border>
      <left style="thin">
        <color indexed="64"/>
      </left>
      <right style="dotted">
        <color indexed="64"/>
      </right>
      <top style="hair">
        <color indexed="64"/>
      </top>
      <bottom style="thin">
        <color indexed="64"/>
      </bottom>
      <diagonal/>
    </border>
    <border>
      <left style="dotted">
        <color indexed="64"/>
      </left>
      <right style="thin">
        <color indexed="64"/>
      </right>
      <top style="medium">
        <color indexed="64"/>
      </top>
      <bottom/>
      <diagonal/>
    </border>
    <border>
      <left style="dotted">
        <color indexed="64"/>
      </left>
      <right style="thin">
        <color indexed="64"/>
      </right>
      <top style="dashed">
        <color indexed="64"/>
      </top>
      <bottom style="hair">
        <color indexed="64"/>
      </bottom>
      <diagonal/>
    </border>
    <border>
      <left style="dotted">
        <color indexed="64"/>
      </left>
      <right style="thin">
        <color indexed="64"/>
      </right>
      <top style="hair">
        <color indexed="64"/>
      </top>
      <bottom style="hair">
        <color indexed="64"/>
      </bottom>
      <diagonal/>
    </border>
    <border>
      <left style="dotted">
        <color indexed="64"/>
      </left>
      <right style="thin">
        <color indexed="64"/>
      </right>
      <top style="hair">
        <color indexed="64"/>
      </top>
      <bottom style="dashed">
        <color indexed="64"/>
      </bottom>
      <diagonal/>
    </border>
    <border>
      <left style="hair">
        <color indexed="64"/>
      </left>
      <right/>
      <top style="medium">
        <color indexed="64"/>
      </top>
      <bottom style="hair">
        <color indexed="64"/>
      </bottom>
      <diagonal/>
    </border>
    <border>
      <left style="dotted">
        <color indexed="64"/>
      </left>
      <right style="thin">
        <color indexed="64"/>
      </right>
      <top style="medium">
        <color indexed="64"/>
      </top>
      <bottom style="dashed">
        <color indexed="64"/>
      </bottom>
      <diagonal/>
    </border>
    <border>
      <left style="dotted">
        <color auto="1"/>
      </left>
      <right style="thin">
        <color auto="1"/>
      </right>
      <top/>
      <bottom style="medium">
        <color auto="1"/>
      </bottom>
      <diagonal/>
    </border>
    <border>
      <left style="medium">
        <color indexed="64"/>
      </left>
      <right style="hair">
        <color indexed="64"/>
      </right>
      <top style="medium">
        <color indexed="64"/>
      </top>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hair">
        <color indexed="64"/>
      </left>
      <right/>
      <top style="medium">
        <color indexed="64"/>
      </top>
      <bottom/>
      <diagonal/>
    </border>
    <border>
      <left style="hair">
        <color indexed="64"/>
      </left>
      <right/>
      <top style="hair">
        <color indexed="64"/>
      </top>
      <bottom style="dashed">
        <color indexed="64"/>
      </bottom>
      <diagonal/>
    </border>
    <border>
      <left style="hair">
        <color indexed="64"/>
      </left>
      <right style="hair">
        <color indexed="64"/>
      </right>
      <top style="hair">
        <color indexed="64"/>
      </top>
      <bottom style="dashed">
        <color indexed="64"/>
      </bottom>
      <diagonal/>
    </border>
    <border>
      <left style="hair">
        <color auto="1"/>
      </left>
      <right style="hair">
        <color auto="1"/>
      </right>
      <top style="dashed">
        <color indexed="64"/>
      </top>
      <bottom style="hair">
        <color indexed="64"/>
      </bottom>
      <diagonal/>
    </border>
    <border>
      <left style="hair">
        <color auto="1"/>
      </left>
      <right style="hair">
        <color auto="1"/>
      </right>
      <top style="hair">
        <color indexed="64"/>
      </top>
      <bottom style="thin">
        <color indexed="64"/>
      </bottom>
      <diagonal/>
    </border>
    <border>
      <left style="dotted">
        <color indexed="64"/>
      </left>
      <right/>
      <top/>
      <bottom style="medium">
        <color indexed="64"/>
      </bottom>
      <diagonal/>
    </border>
    <border>
      <left style="dotted">
        <color indexed="64"/>
      </left>
      <right/>
      <top style="medium">
        <color indexed="64"/>
      </top>
      <bottom/>
      <diagonal/>
    </border>
    <border>
      <left style="dotted">
        <color indexed="64"/>
      </left>
      <right/>
      <top/>
      <bottom style="dashed">
        <color indexed="64"/>
      </bottom>
      <diagonal/>
    </border>
    <border>
      <left/>
      <right style="thin">
        <color indexed="64"/>
      </right>
      <top style="hair">
        <color indexed="64"/>
      </top>
      <bottom style="medium">
        <color indexed="64"/>
      </bottom>
      <diagonal/>
    </border>
    <border>
      <left style="dotted">
        <color indexed="64"/>
      </left>
      <right/>
      <top style="thin">
        <color indexed="64"/>
      </top>
      <bottom style="dashed">
        <color indexed="64"/>
      </bottom>
      <diagonal/>
    </border>
    <border>
      <left/>
      <right style="dotted">
        <color indexed="64"/>
      </right>
      <top style="thin">
        <color indexed="64"/>
      </top>
      <bottom style="dashed">
        <color indexed="64"/>
      </bottom>
      <diagonal/>
    </border>
    <border>
      <left style="hair">
        <color indexed="64"/>
      </left>
      <right style="hair">
        <color indexed="64"/>
      </right>
      <top style="thin">
        <color indexed="64"/>
      </top>
      <bottom style="hair">
        <color indexed="64"/>
      </bottom>
      <diagonal/>
    </border>
    <border>
      <left style="hair">
        <color indexed="64"/>
      </left>
      <right style="dotted">
        <color indexed="64"/>
      </right>
      <top style="dotted">
        <color indexed="64"/>
      </top>
      <bottom style="hair">
        <color indexed="64"/>
      </bottom>
      <diagonal/>
    </border>
    <border>
      <left style="hair">
        <color indexed="64"/>
      </left>
      <right style="dotted">
        <color indexed="64"/>
      </right>
      <top style="thin">
        <color indexed="64"/>
      </top>
      <bottom style="hair">
        <color indexed="64"/>
      </bottom>
      <diagonal/>
    </border>
    <border>
      <left style="hair">
        <color indexed="64"/>
      </left>
      <right style="hair">
        <color indexed="64"/>
      </right>
      <top style="medium">
        <color indexed="64"/>
      </top>
      <bottom/>
      <diagonal/>
    </border>
    <border>
      <left style="hair">
        <color indexed="64"/>
      </left>
      <right style="thin">
        <color indexed="64"/>
      </right>
      <top style="medium">
        <color indexed="64"/>
      </top>
      <bottom/>
      <diagonal/>
    </border>
    <border>
      <left style="medium">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thin">
        <color indexed="64"/>
      </bottom>
      <diagonal/>
    </border>
    <border>
      <left style="medium">
        <color indexed="64"/>
      </left>
      <right/>
      <top style="dotted">
        <color indexed="64"/>
      </top>
      <bottom/>
      <diagonal/>
    </border>
    <border>
      <left style="dotted">
        <color indexed="64"/>
      </left>
      <right style="dotted">
        <color indexed="64"/>
      </right>
      <top style="thin">
        <color indexed="64"/>
      </top>
      <bottom style="medium">
        <color indexed="64"/>
      </bottom>
      <diagonal/>
    </border>
    <border>
      <left style="dotted">
        <color indexed="64"/>
      </left>
      <right style="dotted">
        <color indexed="64"/>
      </right>
      <top/>
      <bottom style="dashed">
        <color indexed="64"/>
      </bottom>
      <diagonal/>
    </border>
    <border>
      <left style="thin">
        <color indexed="64"/>
      </left>
      <right/>
      <top style="double">
        <color indexed="64"/>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right style="thin">
        <color theme="1"/>
      </right>
      <top/>
      <bottom/>
      <diagonal/>
    </border>
    <border>
      <left/>
      <right style="thin">
        <color theme="1"/>
      </right>
      <top style="hair">
        <color indexed="64"/>
      </top>
      <bottom style="dotted">
        <color indexed="64"/>
      </bottom>
      <diagonal/>
    </border>
    <border>
      <left/>
      <right style="hair">
        <color indexed="64"/>
      </right>
      <top style="hair">
        <color indexed="64"/>
      </top>
      <bottom style="dotted">
        <color indexed="64"/>
      </bottom>
      <diagonal/>
    </border>
    <border>
      <left/>
      <right style="dotted">
        <color indexed="64"/>
      </right>
      <top style="hair">
        <color indexed="64"/>
      </top>
      <bottom style="dotted">
        <color indexed="64"/>
      </bottom>
      <diagonal/>
    </border>
    <border>
      <left style="thin">
        <color auto="1"/>
      </left>
      <right style="dotted">
        <color auto="1"/>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auto="1"/>
      </left>
      <right style="thin">
        <color indexed="64"/>
      </right>
      <top style="dotted">
        <color indexed="64"/>
      </top>
      <bottom style="thin">
        <color indexed="64"/>
      </bottom>
      <diagonal/>
    </border>
    <border>
      <left/>
      <right style="hair">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bottom style="hair">
        <color indexed="64"/>
      </bottom>
      <diagonal/>
    </border>
    <border>
      <left style="hair">
        <color indexed="64"/>
      </left>
      <right/>
      <top style="thin">
        <color indexed="64"/>
      </top>
      <bottom style="thin">
        <color indexed="64"/>
      </bottom>
      <diagonal/>
    </border>
    <border>
      <left/>
      <right style="hair">
        <color indexed="64"/>
      </right>
      <top/>
      <bottom style="thin">
        <color indexed="64"/>
      </bottom>
      <diagonal/>
    </border>
    <border>
      <left/>
      <right style="dotted">
        <color indexed="64"/>
      </right>
      <top style="dotted">
        <color indexed="64"/>
      </top>
      <bottom style="dotted">
        <color indexed="64"/>
      </bottom>
      <diagonal/>
    </border>
    <border diagonalUp="1">
      <left style="thin">
        <color indexed="64"/>
      </left>
      <right style="thin">
        <color indexed="64"/>
      </right>
      <top style="dotted">
        <color indexed="64"/>
      </top>
      <bottom style="thin">
        <color indexed="64"/>
      </bottom>
      <diagonal style="thin">
        <color indexed="64"/>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hair">
        <color indexed="64"/>
      </left>
      <right/>
      <top style="thin">
        <color indexed="64"/>
      </top>
      <bottom style="dotted">
        <color indexed="64"/>
      </bottom>
      <diagonal/>
    </border>
    <border>
      <left style="medium">
        <color indexed="64"/>
      </left>
      <right style="thin">
        <color indexed="64"/>
      </right>
      <top style="medium">
        <color indexed="64"/>
      </top>
      <bottom style="double">
        <color indexed="64"/>
      </bottom>
      <diagonal/>
    </border>
    <border>
      <left style="medium">
        <color indexed="64"/>
      </left>
      <right/>
      <top style="double">
        <color indexed="64"/>
      </top>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diagonalUp="1">
      <left style="thin">
        <color indexed="64"/>
      </left>
      <right style="dotted">
        <color indexed="64"/>
      </right>
      <top style="thin">
        <color indexed="64"/>
      </top>
      <bottom style="dashed">
        <color indexed="64"/>
      </bottom>
      <diagonal style="thin">
        <color indexed="64"/>
      </diagonal>
    </border>
    <border diagonalUp="1">
      <left style="thin">
        <color indexed="64"/>
      </left>
      <right style="dotted">
        <color indexed="64"/>
      </right>
      <top style="dashed">
        <color indexed="64"/>
      </top>
      <bottom style="dashed">
        <color indexed="64"/>
      </bottom>
      <diagonal style="thin">
        <color indexed="64"/>
      </diagonal>
    </border>
    <border diagonalUp="1">
      <left style="thin">
        <color indexed="64"/>
      </left>
      <right style="dotted">
        <color indexed="64"/>
      </right>
      <top style="dashed">
        <color indexed="64"/>
      </top>
      <bottom style="thin">
        <color indexed="64"/>
      </bottom>
      <diagonal style="thin">
        <color indexed="64"/>
      </diagonal>
    </border>
    <border diagonalUp="1">
      <left style="hair">
        <color indexed="64"/>
      </left>
      <right style="dotted">
        <color indexed="64"/>
      </right>
      <top style="medium">
        <color indexed="64"/>
      </top>
      <bottom style="hair">
        <color indexed="64"/>
      </bottom>
      <diagonal style="hair">
        <color indexed="64"/>
      </diagonal>
    </border>
    <border diagonalUp="1">
      <left style="hair">
        <color indexed="64"/>
      </left>
      <right style="dotted">
        <color indexed="64"/>
      </right>
      <top style="hair">
        <color indexed="64"/>
      </top>
      <bottom style="hair">
        <color indexed="64"/>
      </bottom>
      <diagonal style="hair">
        <color indexed="64"/>
      </diagonal>
    </border>
    <border diagonalUp="1">
      <left style="hair">
        <color indexed="64"/>
      </left>
      <right style="dotted">
        <color indexed="64"/>
      </right>
      <top style="hair">
        <color indexed="64"/>
      </top>
      <bottom style="dotted">
        <color indexed="64"/>
      </bottom>
      <diagonal style="hair">
        <color indexed="64"/>
      </diagonal>
    </border>
    <border>
      <left/>
      <right style="dotted">
        <color indexed="64"/>
      </right>
      <top/>
      <bottom style="hair">
        <color indexed="64"/>
      </bottom>
      <diagonal/>
    </border>
    <border>
      <left style="dotted">
        <color indexed="64"/>
      </left>
      <right style="dotted">
        <color indexed="64"/>
      </right>
      <top/>
      <bottom style="hair">
        <color indexed="64"/>
      </bottom>
      <diagonal/>
    </border>
    <border>
      <left style="dotted">
        <color indexed="64"/>
      </left>
      <right/>
      <top/>
      <bottom style="hair">
        <color indexed="64"/>
      </bottom>
      <diagonal/>
    </border>
    <border>
      <left style="dotted">
        <color indexed="64"/>
      </left>
      <right style="hair">
        <color indexed="64"/>
      </right>
      <top style="dashed">
        <color indexed="64"/>
      </top>
      <bottom/>
      <diagonal/>
    </border>
    <border>
      <left style="dotted">
        <color indexed="64"/>
      </left>
      <right style="hair">
        <color indexed="64"/>
      </right>
      <top/>
      <bottom/>
      <diagonal/>
    </border>
    <border>
      <left style="dotted">
        <color indexed="64"/>
      </left>
      <right style="hair">
        <color indexed="64"/>
      </right>
      <top/>
      <bottom style="dashed">
        <color indexed="64"/>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diagonalUp="1">
      <left/>
      <right style="thin">
        <color indexed="64"/>
      </right>
      <top style="medium">
        <color indexed="64"/>
      </top>
      <bottom style="dashed">
        <color indexed="64"/>
      </bottom>
      <diagonal style="thin">
        <color indexed="64"/>
      </diagonal>
    </border>
    <border diagonalUp="1">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style="medium">
        <color indexed="64"/>
      </bottom>
      <diagonal style="thin">
        <color indexed="64"/>
      </diagonal>
    </border>
    <border diagonalUp="1">
      <left/>
      <right style="thin">
        <color indexed="64"/>
      </right>
      <top style="dashed">
        <color indexed="64"/>
      </top>
      <bottom style="medium">
        <color indexed="64"/>
      </bottom>
      <diagonal style="thin">
        <color indexed="64"/>
      </diagonal>
    </border>
    <border diagonalUp="1">
      <left style="double">
        <color auto="1"/>
      </left>
      <right style="dotted">
        <color auto="1"/>
      </right>
      <top style="medium">
        <color indexed="64"/>
      </top>
      <bottom/>
      <diagonal style="thin">
        <color indexed="64"/>
      </diagonal>
    </border>
    <border diagonalUp="1">
      <left style="double">
        <color auto="1"/>
      </left>
      <right style="dotted">
        <color auto="1"/>
      </right>
      <top/>
      <bottom/>
      <diagonal style="thin">
        <color indexed="64"/>
      </diagonal>
    </border>
    <border diagonalUp="1">
      <left style="double">
        <color auto="1"/>
      </left>
      <right style="dotted">
        <color auto="1"/>
      </right>
      <top/>
      <bottom style="medium">
        <color indexed="64"/>
      </bottom>
      <diagonal style="thin">
        <color indexed="64"/>
      </diagonal>
    </border>
    <border diagonalUp="1">
      <left style="dotted">
        <color indexed="64"/>
      </left>
      <right style="thin">
        <color indexed="64"/>
      </right>
      <top style="medium">
        <color indexed="64"/>
      </top>
      <bottom/>
      <diagonal style="thin">
        <color indexed="64"/>
      </diagonal>
    </border>
    <border diagonalUp="1">
      <left style="dotted">
        <color indexed="64"/>
      </left>
      <right style="thin">
        <color indexed="64"/>
      </right>
      <top/>
      <bottom/>
      <diagonal style="thin">
        <color indexed="64"/>
      </diagonal>
    </border>
    <border diagonalUp="1">
      <left style="dotted">
        <color auto="1"/>
      </left>
      <right style="thin">
        <color auto="1"/>
      </right>
      <top/>
      <bottom style="medium">
        <color indexed="64"/>
      </bottom>
      <diagonal style="thin">
        <color indexed="64"/>
      </diagonal>
    </border>
  </borders>
  <cellStyleXfs count="17">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xf numFmtId="38" fontId="8" fillId="0" borderId="0" applyFont="0" applyFill="0" applyBorder="0" applyAlignment="0" applyProtection="0">
      <alignment vertical="center"/>
    </xf>
    <xf numFmtId="9" fontId="8" fillId="0" borderId="0" applyFont="0" applyFill="0" applyBorder="0" applyAlignment="0" applyProtection="0">
      <alignment vertical="center"/>
    </xf>
    <xf numFmtId="0" fontId="11" fillId="0" borderId="0"/>
    <xf numFmtId="0" fontId="12" fillId="0" borderId="0">
      <alignment vertical="center"/>
    </xf>
    <xf numFmtId="0" fontId="2" fillId="0" borderId="0">
      <alignment vertical="center"/>
    </xf>
    <xf numFmtId="0" fontId="20" fillId="0" borderId="0">
      <alignment vertical="center"/>
    </xf>
    <xf numFmtId="0" fontId="8" fillId="0" borderId="0">
      <alignment vertical="center"/>
    </xf>
    <xf numFmtId="0" fontId="73" fillId="0" borderId="0" applyNumberFormat="0" applyFill="0" applyBorder="0" applyAlignment="0" applyProtection="0">
      <alignment vertical="center"/>
    </xf>
    <xf numFmtId="0" fontId="74" fillId="0" borderId="0"/>
    <xf numFmtId="0" fontId="78" fillId="0" borderId="0" applyNumberFormat="0" applyFill="0" applyBorder="0" applyAlignment="0" applyProtection="0"/>
    <xf numFmtId="0" fontId="74" fillId="0" borderId="0"/>
    <xf numFmtId="0" fontId="12" fillId="0" borderId="0">
      <alignment vertical="center"/>
    </xf>
    <xf numFmtId="0" fontId="6" fillId="0" borderId="0"/>
  </cellStyleXfs>
  <cellXfs count="2781">
    <xf numFmtId="0" fontId="0" fillId="0" borderId="0" xfId="0">
      <alignment vertical="center"/>
    </xf>
    <xf numFmtId="0" fontId="18" fillId="5" borderId="15" xfId="3" applyNumberFormat="1" applyFont="1" applyFill="1" applyBorder="1" applyAlignment="1" applyProtection="1">
      <alignment horizontal="center" vertical="center"/>
    </xf>
    <xf numFmtId="0" fontId="19" fillId="5" borderId="6" xfId="3" applyNumberFormat="1" applyFont="1" applyFill="1" applyBorder="1" applyAlignment="1" applyProtection="1">
      <alignment horizontal="center" vertical="center"/>
    </xf>
    <xf numFmtId="0" fontId="19" fillId="5" borderId="17" xfId="3" applyNumberFormat="1" applyFont="1" applyFill="1" applyBorder="1" applyAlignment="1" applyProtection="1">
      <alignment horizontal="center" vertical="center"/>
    </xf>
    <xf numFmtId="0" fontId="19" fillId="5" borderId="18" xfId="3" applyNumberFormat="1" applyFont="1" applyFill="1" applyBorder="1" applyAlignment="1" applyProtection="1">
      <alignment horizontal="center" vertical="center"/>
    </xf>
    <xf numFmtId="0" fontId="19" fillId="5" borderId="14" xfId="3" applyNumberFormat="1" applyFont="1" applyFill="1" applyBorder="1" applyAlignment="1" applyProtection="1">
      <alignment horizontal="center" vertical="center"/>
    </xf>
    <xf numFmtId="0" fontId="18" fillId="5" borderId="19" xfId="3" applyNumberFormat="1" applyFont="1" applyFill="1" applyBorder="1" applyAlignment="1" applyProtection="1">
      <alignment horizontal="center" vertical="center"/>
    </xf>
    <xf numFmtId="0" fontId="18" fillId="5" borderId="32" xfId="3" applyNumberFormat="1" applyFont="1" applyFill="1" applyBorder="1" applyAlignment="1" applyProtection="1">
      <alignment horizontal="center" vertical="center"/>
    </xf>
    <xf numFmtId="0" fontId="18" fillId="5" borderId="16" xfId="3" applyNumberFormat="1" applyFont="1" applyFill="1" applyBorder="1" applyAlignment="1" applyProtection="1">
      <alignment horizontal="center" vertical="center"/>
    </xf>
    <xf numFmtId="0" fontId="18" fillId="5" borderId="0" xfId="3" applyNumberFormat="1" applyFont="1" applyFill="1" applyBorder="1" applyAlignment="1" applyProtection="1">
      <alignment horizontal="center" vertical="center"/>
    </xf>
    <xf numFmtId="0" fontId="18" fillId="0" borderId="0" xfId="9" applyFont="1" applyProtection="1">
      <alignment vertical="center"/>
    </xf>
    <xf numFmtId="0" fontId="18" fillId="0" borderId="0" xfId="9" applyFont="1" applyFill="1" applyAlignment="1" applyProtection="1">
      <alignment horizontal="center" vertical="center"/>
    </xf>
    <xf numFmtId="0" fontId="2" fillId="0" borderId="0" xfId="3" applyProtection="1"/>
    <xf numFmtId="0" fontId="19" fillId="5" borderId="8" xfId="3" applyNumberFormat="1" applyFont="1" applyFill="1" applyBorder="1" applyAlignment="1" applyProtection="1">
      <alignment horizontal="center" vertical="center"/>
    </xf>
    <xf numFmtId="0" fontId="19" fillId="5" borderId="4" xfId="3" applyNumberFormat="1" applyFont="1" applyFill="1" applyBorder="1" applyAlignment="1" applyProtection="1">
      <alignment horizontal="center" vertical="center"/>
    </xf>
    <xf numFmtId="0" fontId="19" fillId="5" borderId="8" xfId="3" applyNumberFormat="1" applyFont="1" applyFill="1" applyBorder="1" applyAlignment="1" applyProtection="1">
      <alignment horizontal="center" vertical="center" wrapText="1"/>
    </xf>
    <xf numFmtId="0" fontId="21" fillId="0" borderId="0" xfId="3" applyNumberFormat="1" applyFont="1" applyBorder="1" applyAlignment="1" applyProtection="1">
      <alignment horizontal="center" vertical="center"/>
    </xf>
    <xf numFmtId="0" fontId="21" fillId="0" borderId="21" xfId="3" applyNumberFormat="1" applyFont="1" applyBorder="1" applyAlignment="1" applyProtection="1">
      <alignment horizontal="center" vertical="center"/>
    </xf>
    <xf numFmtId="0" fontId="18" fillId="0" borderId="0" xfId="3" applyNumberFormat="1" applyFont="1" applyFill="1" applyAlignment="1" applyProtection="1">
      <alignment horizontal="center" vertical="center"/>
    </xf>
    <xf numFmtId="0" fontId="19" fillId="8" borderId="19" xfId="9" applyFont="1" applyFill="1" applyBorder="1" applyAlignment="1" applyProtection="1">
      <alignment vertical="center" wrapText="1"/>
    </xf>
    <xf numFmtId="0" fontId="19" fillId="0" borderId="32" xfId="9" applyFont="1" applyBorder="1" applyAlignment="1" applyProtection="1">
      <alignment vertical="center" wrapText="1"/>
    </xf>
    <xf numFmtId="0" fontId="2" fillId="0" borderId="32" xfId="3" applyBorder="1" applyAlignment="1" applyProtection="1">
      <alignment wrapText="1"/>
    </xf>
    <xf numFmtId="0" fontId="2" fillId="0" borderId="32" xfId="3" applyBorder="1" applyProtection="1"/>
    <xf numFmtId="0" fontId="2" fillId="0" borderId="16" xfId="3" applyBorder="1" applyProtection="1"/>
    <xf numFmtId="0" fontId="19" fillId="0" borderId="19" xfId="3" applyNumberFormat="1" applyFont="1" applyFill="1" applyBorder="1" applyAlignment="1" applyProtection="1">
      <alignment horizontal="center" vertical="center"/>
    </xf>
    <xf numFmtId="0" fontId="18" fillId="0" borderId="0" xfId="3" applyNumberFormat="1" applyFont="1" applyFill="1" applyAlignment="1" applyProtection="1">
      <alignment vertical="center"/>
    </xf>
    <xf numFmtId="0" fontId="19" fillId="0" borderId="0" xfId="9" applyFont="1" applyProtection="1">
      <alignment vertical="center"/>
    </xf>
    <xf numFmtId="0" fontId="19" fillId="0" borderId="0" xfId="9" applyFont="1" applyFill="1" applyAlignment="1" applyProtection="1">
      <alignment horizontal="center" vertical="center"/>
    </xf>
    <xf numFmtId="0" fontId="19" fillId="0" borderId="21" xfId="9" applyNumberFormat="1" applyFont="1" applyFill="1" applyBorder="1" applyProtection="1">
      <alignment vertical="center"/>
    </xf>
    <xf numFmtId="0" fontId="19" fillId="0" borderId="0" xfId="9" applyNumberFormat="1" applyFont="1" applyFill="1" applyBorder="1" applyProtection="1">
      <alignment vertical="center"/>
    </xf>
    <xf numFmtId="0" fontId="2" fillId="0" borderId="0" xfId="3" applyBorder="1" applyProtection="1"/>
    <xf numFmtId="0" fontId="2" fillId="0" borderId="15" xfId="3" applyBorder="1" applyProtection="1"/>
    <xf numFmtId="0" fontId="19" fillId="0" borderId="0" xfId="3" applyNumberFormat="1" applyFont="1" applyFill="1" applyBorder="1" applyAlignment="1" applyProtection="1">
      <alignment horizontal="center" vertical="center"/>
    </xf>
    <xf numFmtId="0" fontId="19" fillId="9" borderId="21" xfId="9" applyNumberFormat="1" applyFont="1" applyFill="1" applyBorder="1" applyProtection="1">
      <alignment vertical="center"/>
    </xf>
    <xf numFmtId="0" fontId="22" fillId="0" borderId="19" xfId="3" applyNumberFormat="1" applyFont="1" applyFill="1" applyBorder="1" applyAlignment="1" applyProtection="1">
      <alignment horizontal="center" vertical="center"/>
    </xf>
    <xf numFmtId="0" fontId="19" fillId="0" borderId="21" xfId="9" applyFont="1" applyBorder="1" applyProtection="1">
      <alignment vertical="center"/>
    </xf>
    <xf numFmtId="0" fontId="19" fillId="0" borderId="0" xfId="9" applyFont="1" applyBorder="1" applyProtection="1">
      <alignment vertical="center"/>
    </xf>
    <xf numFmtId="0" fontId="18" fillId="0" borderId="0" xfId="9" applyFont="1" applyBorder="1" applyProtection="1">
      <alignment vertical="center"/>
    </xf>
    <xf numFmtId="0" fontId="19" fillId="0" borderId="20" xfId="9" applyFont="1" applyBorder="1" applyProtection="1">
      <alignment vertical="center"/>
    </xf>
    <xf numFmtId="0" fontId="19" fillId="0" borderId="10" xfId="9" applyFont="1" applyBorder="1" applyProtection="1">
      <alignment vertical="center"/>
    </xf>
    <xf numFmtId="0" fontId="18" fillId="0" borderId="10" xfId="9" applyFont="1" applyBorder="1" applyProtection="1">
      <alignment vertical="center"/>
    </xf>
    <xf numFmtId="0" fontId="2" fillId="0" borderId="10" xfId="3" applyBorder="1" applyProtection="1"/>
    <xf numFmtId="0" fontId="2" fillId="0" borderId="13" xfId="3" applyBorder="1" applyProtection="1"/>
    <xf numFmtId="0" fontId="22" fillId="0" borderId="0" xfId="9" applyFont="1" applyProtection="1">
      <alignment vertical="center"/>
    </xf>
    <xf numFmtId="0" fontId="19" fillId="0" borderId="19" xfId="3" applyNumberFormat="1" applyFont="1" applyFill="1" applyBorder="1" applyAlignment="1" applyProtection="1">
      <alignment horizontal="center" vertical="center" shrinkToFit="1"/>
    </xf>
    <xf numFmtId="0" fontId="18" fillId="0" borderId="0" xfId="3" applyNumberFormat="1" applyFont="1" applyFill="1" applyBorder="1" applyAlignment="1" applyProtection="1">
      <alignment horizontal="center" vertical="center"/>
    </xf>
    <xf numFmtId="0" fontId="18" fillId="0" borderId="19" xfId="3" applyNumberFormat="1" applyFont="1" applyFill="1" applyBorder="1" applyAlignment="1" applyProtection="1">
      <alignment horizontal="center" vertical="center"/>
    </xf>
    <xf numFmtId="0" fontId="18" fillId="0" borderId="19" xfId="3" applyNumberFormat="1" applyFont="1" applyFill="1" applyBorder="1" applyAlignment="1" applyProtection="1">
      <alignment vertical="center"/>
    </xf>
    <xf numFmtId="0" fontId="19" fillId="0" borderId="19" xfId="3" applyNumberFormat="1" applyFont="1" applyFill="1" applyBorder="1" applyAlignment="1" applyProtection="1">
      <alignment vertical="center"/>
    </xf>
    <xf numFmtId="0" fontId="22" fillId="0" borderId="19" xfId="3" applyNumberFormat="1" applyFont="1" applyFill="1" applyBorder="1" applyAlignment="1" applyProtection="1">
      <alignment vertical="center"/>
    </xf>
    <xf numFmtId="0" fontId="18" fillId="0" borderId="32" xfId="3" applyNumberFormat="1" applyFont="1" applyFill="1" applyBorder="1" applyAlignment="1" applyProtection="1">
      <alignment horizontal="center" vertical="center"/>
    </xf>
    <xf numFmtId="0" fontId="23" fillId="0" borderId="19" xfId="3" applyNumberFormat="1" applyFont="1" applyFill="1" applyBorder="1" applyAlignment="1" applyProtection="1">
      <alignment horizontal="center" vertical="center" shrinkToFit="1"/>
    </xf>
    <xf numFmtId="0" fontId="23" fillId="0" borderId="19" xfId="3" applyNumberFormat="1" applyFont="1" applyFill="1" applyBorder="1" applyAlignment="1" applyProtection="1">
      <alignment horizontal="center" vertical="center"/>
    </xf>
    <xf numFmtId="0" fontId="18" fillId="0" borderId="19" xfId="3" applyNumberFormat="1" applyFont="1" applyFill="1" applyBorder="1" applyAlignment="1" applyProtection="1">
      <alignment horizontal="center" vertical="center" shrinkToFit="1"/>
    </xf>
    <xf numFmtId="0" fontId="18" fillId="0" borderId="19" xfId="3" applyNumberFormat="1" applyFont="1" applyFill="1" applyBorder="1" applyAlignment="1" applyProtection="1">
      <alignment horizontal="right" vertical="center"/>
    </xf>
    <xf numFmtId="0" fontId="21" fillId="10" borderId="106" xfId="3" applyFont="1" applyFill="1" applyBorder="1" applyAlignment="1" applyProtection="1">
      <alignment vertical="center"/>
    </xf>
    <xf numFmtId="0" fontId="21" fillId="0" borderId="19" xfId="3" applyNumberFormat="1" applyFont="1" applyBorder="1" applyAlignment="1" applyProtection="1">
      <alignment horizontal="center" vertical="center"/>
    </xf>
    <xf numFmtId="0" fontId="21" fillId="0" borderId="19" xfId="3" applyFont="1" applyBorder="1" applyAlignment="1" applyProtection="1">
      <alignment horizontal="center" vertical="center"/>
    </xf>
    <xf numFmtId="0" fontId="21" fillId="0" borderId="19" xfId="3" applyFont="1" applyBorder="1" applyAlignment="1" applyProtection="1">
      <alignment vertical="center"/>
    </xf>
    <xf numFmtId="0" fontId="21" fillId="0" borderId="19" xfId="3" applyFont="1" applyFill="1" applyBorder="1" applyAlignment="1" applyProtection="1">
      <alignment vertical="center"/>
    </xf>
    <xf numFmtId="0" fontId="21" fillId="0" borderId="19" xfId="3" applyFont="1" applyFill="1" applyBorder="1" applyAlignment="1" applyProtection="1">
      <alignment horizontal="center" vertical="center"/>
    </xf>
    <xf numFmtId="1" fontId="18" fillId="0" borderId="0" xfId="3" applyNumberFormat="1" applyFont="1" applyAlignment="1" applyProtection="1">
      <alignment vertical="center"/>
    </xf>
    <xf numFmtId="0" fontId="6" fillId="0" borderId="0" xfId="0" applyFont="1">
      <alignment vertical="center"/>
    </xf>
    <xf numFmtId="3" fontId="24" fillId="0" borderId="15" xfId="8" applyNumberFormat="1" applyFont="1" applyFill="1" applyBorder="1" applyAlignment="1">
      <alignment horizontal="center" vertical="center" wrapText="1"/>
    </xf>
    <xf numFmtId="185" fontId="24" fillId="0" borderId="15" xfId="8" applyNumberFormat="1" applyFont="1" applyFill="1" applyBorder="1" applyAlignment="1">
      <alignment horizontal="center" vertical="center"/>
    </xf>
    <xf numFmtId="3" fontId="24" fillId="0" borderId="18" xfId="8" applyNumberFormat="1" applyFont="1" applyBorder="1" applyAlignment="1">
      <alignment vertical="center"/>
    </xf>
    <xf numFmtId="3" fontId="24" fillId="0" borderId="32" xfId="8" applyNumberFormat="1" applyFont="1" applyBorder="1" applyAlignment="1">
      <alignment vertical="center"/>
    </xf>
    <xf numFmtId="184" fontId="24" fillId="0" borderId="32" xfId="8" applyNumberFormat="1" applyFont="1" applyBorder="1" applyAlignment="1">
      <alignment horizontal="right" vertical="center" wrapText="1"/>
    </xf>
    <xf numFmtId="184" fontId="24" fillId="0" borderId="0" xfId="8" applyNumberFormat="1" applyFont="1" applyBorder="1" applyAlignment="1">
      <alignment vertical="center" wrapText="1"/>
    </xf>
    <xf numFmtId="184" fontId="24" fillId="0" borderId="32" xfId="8" applyNumberFormat="1" applyFont="1" applyBorder="1" applyAlignment="1">
      <alignment horizontal="center" vertical="center" wrapText="1"/>
    </xf>
    <xf numFmtId="0" fontId="19" fillId="11" borderId="4" xfId="3" applyNumberFormat="1" applyFont="1" applyFill="1" applyBorder="1" applyAlignment="1" applyProtection="1">
      <alignment horizontal="center" vertical="center"/>
    </xf>
    <xf numFmtId="0" fontId="4" fillId="2" borderId="144" xfId="3" applyFont="1" applyFill="1" applyBorder="1" applyAlignment="1" applyProtection="1">
      <alignment horizontal="center" vertical="center" shrinkToFit="1"/>
    </xf>
    <xf numFmtId="0" fontId="4" fillId="2" borderId="127" xfId="3" applyFont="1" applyFill="1" applyBorder="1" applyAlignment="1" applyProtection="1">
      <alignment horizontal="center" vertical="center" shrinkToFit="1"/>
    </xf>
    <xf numFmtId="0" fontId="4" fillId="0" borderId="0" xfId="3" applyFont="1" applyAlignment="1" applyProtection="1">
      <alignment shrinkToFit="1"/>
    </xf>
    <xf numFmtId="0" fontId="32" fillId="0" borderId="0" xfId="3" applyFont="1" applyFill="1" applyBorder="1" applyAlignment="1" applyProtection="1">
      <alignment horizontal="left"/>
    </xf>
    <xf numFmtId="0" fontId="2" fillId="0" borderId="0" xfId="3" applyAlignment="1">
      <alignment horizontal="left"/>
    </xf>
    <xf numFmtId="0" fontId="2" fillId="0" borderId="0" xfId="3" applyFill="1" applyBorder="1" applyAlignment="1">
      <alignment horizontal="left"/>
    </xf>
    <xf numFmtId="0" fontId="2" fillId="0" borderId="0" xfId="3"/>
    <xf numFmtId="0" fontId="7" fillId="0" borderId="0" xfId="3" applyFont="1" applyFill="1" applyBorder="1" applyAlignment="1" applyProtection="1">
      <alignment horizontal="left" vertical="center"/>
    </xf>
    <xf numFmtId="0" fontId="5" fillId="10" borderId="159" xfId="3" applyFont="1" applyFill="1" applyBorder="1" applyAlignment="1">
      <alignment horizontal="center" vertical="center"/>
    </xf>
    <xf numFmtId="0" fontId="5" fillId="10" borderId="160" xfId="3" applyFont="1" applyFill="1" applyBorder="1" applyAlignment="1">
      <alignment horizontal="center" vertical="center"/>
    </xf>
    <xf numFmtId="0" fontId="5" fillId="3" borderId="116" xfId="3" applyFont="1" applyFill="1" applyBorder="1" applyAlignment="1">
      <alignment horizontal="center" vertical="center"/>
    </xf>
    <xf numFmtId="0" fontId="5" fillId="3" borderId="160" xfId="3" applyFont="1" applyFill="1" applyBorder="1" applyAlignment="1">
      <alignment horizontal="center" vertical="center"/>
    </xf>
    <xf numFmtId="199" fontId="2" fillId="12" borderId="116" xfId="3" applyNumberFormat="1" applyFill="1" applyBorder="1" applyAlignment="1" applyProtection="1">
      <alignment horizontal="left" shrinkToFit="1"/>
      <protection locked="0"/>
    </xf>
    <xf numFmtId="199" fontId="2" fillId="12" borderId="160" xfId="3" applyNumberFormat="1" applyFill="1" applyBorder="1" applyAlignment="1" applyProtection="1">
      <alignment horizontal="left" shrinkToFit="1"/>
      <protection locked="0"/>
    </xf>
    <xf numFmtId="14" fontId="2" fillId="0" borderId="0" xfId="3" applyNumberFormat="1"/>
    <xf numFmtId="0" fontId="10" fillId="0" borderId="14" xfId="0" applyFont="1" applyBorder="1" applyAlignment="1" applyProtection="1">
      <alignment vertical="center"/>
    </xf>
    <xf numFmtId="0" fontId="10" fillId="0" borderId="0" xfId="0" applyFont="1" applyFill="1" applyBorder="1" applyAlignment="1" applyProtection="1">
      <alignment vertical="center" wrapText="1"/>
    </xf>
    <xf numFmtId="0" fontId="10" fillId="0" borderId="32" xfId="0" applyFont="1" applyFill="1" applyBorder="1" applyAlignment="1" applyProtection="1">
      <alignment horizontal="center" vertical="center"/>
    </xf>
    <xf numFmtId="0" fontId="10" fillId="0" borderId="0" xfId="0" applyFont="1" applyFill="1" applyBorder="1" applyAlignment="1" applyProtection="1">
      <alignment horizontal="left" vertical="center" wrapText="1"/>
    </xf>
    <xf numFmtId="0" fontId="10" fillId="0" borderId="0" xfId="0" applyFont="1" applyBorder="1" applyAlignment="1" applyProtection="1">
      <alignment vertical="center"/>
    </xf>
    <xf numFmtId="0" fontId="10" fillId="0" borderId="0" xfId="0" applyFont="1" applyFill="1" applyBorder="1" applyAlignment="1" applyProtection="1">
      <alignment vertical="center"/>
    </xf>
    <xf numFmtId="0" fontId="10" fillId="0" borderId="0" xfId="0" applyFont="1" applyAlignment="1" applyProtection="1">
      <alignment horizontal="center" vertical="center"/>
    </xf>
    <xf numFmtId="14" fontId="10" fillId="0" borderId="4" xfId="0" applyNumberFormat="1" applyFont="1" applyBorder="1" applyAlignment="1" applyProtection="1">
      <alignment horizontal="center" vertical="center"/>
    </xf>
    <xf numFmtId="0" fontId="10" fillId="0" borderId="158" xfId="0" applyFont="1" applyFill="1" applyBorder="1" applyAlignment="1" applyProtection="1">
      <alignment horizontal="center" vertical="center"/>
    </xf>
    <xf numFmtId="0" fontId="10" fillId="0" borderId="0" xfId="0" applyFont="1" applyAlignment="1" applyProtection="1">
      <alignment vertical="center"/>
    </xf>
    <xf numFmtId="0" fontId="10" fillId="0" borderId="17" xfId="0" applyFont="1" applyBorder="1" applyAlignment="1" applyProtection="1">
      <alignment vertical="center"/>
    </xf>
    <xf numFmtId="0" fontId="10" fillId="0" borderId="4" xfId="0" applyFont="1" applyBorder="1" applyAlignment="1" applyProtection="1">
      <alignment vertical="center"/>
    </xf>
    <xf numFmtId="0" fontId="26" fillId="0" borderId="4" xfId="0" applyFont="1" applyBorder="1" applyAlignment="1" applyProtection="1">
      <alignment vertical="center"/>
    </xf>
    <xf numFmtId="0" fontId="10" fillId="0" borderId="4" xfId="0" applyFont="1" applyFill="1" applyBorder="1" applyAlignment="1" applyProtection="1">
      <alignment vertical="center"/>
    </xf>
    <xf numFmtId="0" fontId="10" fillId="0" borderId="9" xfId="0" applyFont="1" applyFill="1" applyBorder="1" applyAlignment="1" applyProtection="1">
      <alignment vertical="center"/>
    </xf>
    <xf numFmtId="0" fontId="10" fillId="0" borderId="17" xfId="0" applyFont="1" applyFill="1" applyBorder="1" applyAlignment="1" applyProtection="1">
      <alignment vertical="center"/>
    </xf>
    <xf numFmtId="0" fontId="27" fillId="0" borderId="4" xfId="0" applyFont="1" applyBorder="1" applyAlignment="1" applyProtection="1">
      <alignment vertical="center"/>
    </xf>
    <xf numFmtId="0" fontId="10" fillId="0" borderId="0" xfId="0" applyFont="1" applyFill="1" applyAlignment="1" applyProtection="1">
      <alignment vertical="center"/>
    </xf>
    <xf numFmtId="0" fontId="27" fillId="0" borderId="0" xfId="0" applyFont="1" applyAlignment="1" applyProtection="1">
      <alignment vertical="center"/>
    </xf>
    <xf numFmtId="0" fontId="10" fillId="0" borderId="32" xfId="0" applyFont="1" applyFill="1" applyBorder="1" applyAlignment="1" applyProtection="1">
      <alignment vertical="center"/>
    </xf>
    <xf numFmtId="0" fontId="27" fillId="0" borderId="0" xfId="0" applyFont="1" applyAlignment="1" applyProtection="1">
      <alignment horizontal="center" vertical="center"/>
    </xf>
    <xf numFmtId="0" fontId="27" fillId="0" borderId="0" xfId="0" applyFont="1" applyProtection="1">
      <alignment vertical="center"/>
    </xf>
    <xf numFmtId="0" fontId="27" fillId="0" borderId="4" xfId="0" applyFont="1" applyBorder="1" applyProtection="1">
      <alignment vertical="center"/>
    </xf>
    <xf numFmtId="0" fontId="4" fillId="0" borderId="4" xfId="3" applyFont="1" applyBorder="1" applyAlignment="1" applyProtection="1">
      <alignment horizontal="center" vertical="center" shrinkToFit="1"/>
    </xf>
    <xf numFmtId="0" fontId="42" fillId="0" borderId="0" xfId="3" applyFont="1" applyAlignment="1" applyProtection="1">
      <alignment horizontal="right" vertical="center" textRotation="180" shrinkToFit="1"/>
    </xf>
    <xf numFmtId="0" fontId="42" fillId="2" borderId="0" xfId="3" applyFont="1" applyFill="1" applyAlignment="1" applyProtection="1">
      <alignment horizontal="left" vertical="center"/>
    </xf>
    <xf numFmtId="0" fontId="42" fillId="2" borderId="0" xfId="3" applyFont="1" applyFill="1" applyAlignment="1" applyProtection="1">
      <alignment vertical="center" shrinkToFit="1"/>
    </xf>
    <xf numFmtId="0" fontId="4" fillId="2" borderId="4" xfId="3" applyFont="1" applyFill="1" applyBorder="1" applyAlignment="1" applyProtection="1">
      <alignment horizontal="center" vertical="center" shrinkToFit="1"/>
    </xf>
    <xf numFmtId="0" fontId="42" fillId="0" borderId="21" xfId="3" applyFont="1" applyBorder="1" applyAlignment="1" applyProtection="1">
      <alignment vertical="center" shrinkToFit="1"/>
    </xf>
    <xf numFmtId="0" fontId="4" fillId="0" borderId="4" xfId="3" applyFont="1" applyBorder="1" applyAlignment="1" applyProtection="1">
      <alignment shrinkToFit="1"/>
    </xf>
    <xf numFmtId="0" fontId="42" fillId="0" borderId="0" xfId="3" applyFont="1" applyAlignment="1" applyProtection="1">
      <alignment vertical="center" shrinkToFit="1"/>
    </xf>
    <xf numFmtId="0" fontId="4" fillId="0" borderId="0" xfId="3" applyFont="1" applyAlignment="1" applyProtection="1">
      <alignment horizontal="right" vertical="center" textRotation="180" shrinkToFit="1"/>
    </xf>
    <xf numFmtId="0" fontId="42" fillId="2" borderId="40" xfId="3" applyFont="1" applyFill="1" applyBorder="1" applyAlignment="1" applyProtection="1">
      <alignment horizontal="right" vertical="center" shrinkToFit="1"/>
    </xf>
    <xf numFmtId="0" fontId="4" fillId="2" borderId="0" xfId="3" applyFont="1" applyFill="1" applyBorder="1" applyAlignment="1" applyProtection="1">
      <alignment vertical="center" shrinkToFit="1"/>
    </xf>
    <xf numFmtId="0" fontId="42" fillId="0" borderId="21" xfId="3" applyFont="1" applyBorder="1" applyAlignment="1" applyProtection="1">
      <alignment shrinkToFit="1"/>
    </xf>
    <xf numFmtId="0" fontId="4" fillId="0" borderId="0" xfId="3" applyFont="1" applyAlignment="1" applyProtection="1">
      <alignment vertical="top" textRotation="180" shrinkToFit="1"/>
    </xf>
    <xf numFmtId="0" fontId="4" fillId="2" borderId="0" xfId="3" applyFont="1" applyFill="1" applyBorder="1" applyAlignment="1" applyProtection="1">
      <alignment horizontal="right" vertical="center"/>
    </xf>
    <xf numFmtId="0" fontId="4" fillId="2" borderId="0" xfId="3" applyFont="1" applyFill="1" applyAlignment="1" applyProtection="1">
      <alignment shrinkToFit="1"/>
    </xf>
    <xf numFmtId="0" fontId="4" fillId="0" borderId="0" xfId="3" applyFont="1" applyBorder="1" applyAlignment="1" applyProtection="1">
      <alignment shrinkToFit="1"/>
    </xf>
    <xf numFmtId="0" fontId="4" fillId="0" borderId="32" xfId="3" applyFont="1" applyBorder="1" applyAlignment="1" applyProtection="1">
      <alignment shrinkToFit="1"/>
    </xf>
    <xf numFmtId="197" fontId="4" fillId="0" borderId="0" xfId="3" applyNumberFormat="1" applyFont="1" applyBorder="1" applyAlignment="1" applyProtection="1">
      <alignment horizontal="center" vertical="center" shrinkToFit="1"/>
    </xf>
    <xf numFmtId="197" fontId="4" fillId="0" borderId="0" xfId="3" applyNumberFormat="1" applyFont="1" applyAlignment="1" applyProtection="1">
      <alignment shrinkToFit="1"/>
    </xf>
    <xf numFmtId="0" fontId="9" fillId="2" borderId="0" xfId="3" applyFont="1" applyFill="1" applyAlignment="1" applyProtection="1">
      <alignment vertical="center" shrinkToFit="1"/>
    </xf>
    <xf numFmtId="0" fontId="9" fillId="2" borderId="0" xfId="3" applyFont="1" applyFill="1" applyBorder="1" applyAlignment="1" applyProtection="1">
      <alignment vertical="center" shrinkToFit="1"/>
    </xf>
    <xf numFmtId="0" fontId="4" fillId="0" borderId="0" xfId="3" applyFont="1" applyFill="1" applyBorder="1" applyAlignment="1" applyProtection="1">
      <alignment vertical="center" shrinkToFit="1"/>
    </xf>
    <xf numFmtId="0" fontId="4" fillId="0" borderId="0" xfId="1" applyFont="1" applyBorder="1" applyAlignment="1">
      <alignment horizontal="center" vertical="center"/>
    </xf>
    <xf numFmtId="0" fontId="4" fillId="0" borderId="0" xfId="1" applyFont="1" applyAlignment="1">
      <alignment horizontal="center" vertical="center"/>
    </xf>
    <xf numFmtId="0" fontId="4" fillId="0" borderId="0" xfId="1" applyFont="1" applyAlignment="1">
      <alignment vertical="center"/>
    </xf>
    <xf numFmtId="0" fontId="28" fillId="0" borderId="0" xfId="0" applyFont="1" applyAlignment="1" applyProtection="1">
      <alignment vertical="center"/>
    </xf>
    <xf numFmtId="0" fontId="10" fillId="0" borderId="18" xfId="0" applyFont="1" applyBorder="1" applyProtection="1">
      <alignment vertical="center"/>
    </xf>
    <xf numFmtId="0" fontId="10" fillId="0" borderId="4" xfId="0" applyFont="1" applyBorder="1" applyProtection="1">
      <alignment vertical="center"/>
    </xf>
    <xf numFmtId="0" fontId="10" fillId="0" borderId="4" xfId="0" applyFont="1" applyFill="1" applyBorder="1" applyProtection="1">
      <alignment vertical="center"/>
    </xf>
    <xf numFmtId="0" fontId="10" fillId="0" borderId="14" xfId="0" applyFont="1" applyBorder="1" applyProtection="1">
      <alignment vertical="center"/>
    </xf>
    <xf numFmtId="0" fontId="26" fillId="0" borderId="4" xfId="0" applyFont="1" applyBorder="1" applyProtection="1">
      <alignment vertical="center"/>
    </xf>
    <xf numFmtId="0" fontId="10" fillId="0" borderId="18" xfId="0" applyFont="1" applyFill="1" applyBorder="1" applyProtection="1">
      <alignment vertical="center"/>
    </xf>
    <xf numFmtId="0" fontId="27" fillId="0" borderId="4" xfId="0" applyFont="1" applyBorder="1" applyAlignment="1" applyProtection="1"/>
    <xf numFmtId="0" fontId="10" fillId="0" borderId="0" xfId="0" applyFont="1" applyFill="1" applyProtection="1">
      <alignment vertical="center"/>
    </xf>
    <xf numFmtId="0" fontId="10" fillId="0" borderId="0" xfId="0" applyFont="1" applyProtection="1">
      <alignment vertical="center"/>
    </xf>
    <xf numFmtId="0" fontId="27" fillId="0" borderId="4" xfId="0" applyFont="1" applyFill="1" applyBorder="1" applyProtection="1">
      <alignment vertical="center"/>
    </xf>
    <xf numFmtId="0" fontId="27" fillId="0" borderId="0" xfId="0" applyFont="1" applyFill="1" applyBorder="1" applyProtection="1">
      <alignment vertical="center"/>
    </xf>
    <xf numFmtId="0" fontId="27" fillId="0" borderId="35" xfId="0" applyFont="1" applyBorder="1" applyAlignment="1" applyProtection="1">
      <alignment vertical="center"/>
    </xf>
    <xf numFmtId="0" fontId="28" fillId="0" borderId="0" xfId="0" applyFont="1" applyProtection="1">
      <alignment vertical="center"/>
    </xf>
    <xf numFmtId="0" fontId="10" fillId="0" borderId="0" xfId="3" applyFont="1" applyBorder="1" applyAlignment="1" applyProtection="1">
      <alignment vertical="center"/>
    </xf>
    <xf numFmtId="0" fontId="28" fillId="0" borderId="0" xfId="0" applyFont="1" applyBorder="1" applyAlignment="1" applyProtection="1">
      <alignment vertical="center"/>
    </xf>
    <xf numFmtId="0" fontId="10" fillId="0" borderId="0" xfId="1" applyFont="1" applyAlignment="1">
      <alignment vertical="center"/>
    </xf>
    <xf numFmtId="0" fontId="28" fillId="0" borderId="4" xfId="0" applyFont="1" applyBorder="1" applyAlignment="1" applyProtection="1">
      <alignment vertical="center" shrinkToFit="1"/>
    </xf>
    <xf numFmtId="49" fontId="31" fillId="0" borderId="0" xfId="2" applyNumberFormat="1" applyFont="1" applyFill="1" applyBorder="1" applyAlignment="1" applyProtection="1">
      <alignment horizontal="right" vertical="center" shrinkToFit="1"/>
    </xf>
    <xf numFmtId="0" fontId="10" fillId="0" borderId="44" xfId="0" applyFont="1" applyBorder="1" applyAlignment="1" applyProtection="1">
      <alignment horizontal="center" vertical="center"/>
    </xf>
    <xf numFmtId="0" fontId="10" fillId="0" borderId="3" xfId="0" applyFont="1" applyFill="1" applyBorder="1" applyAlignment="1" applyProtection="1">
      <alignment vertical="center" shrinkToFit="1"/>
    </xf>
    <xf numFmtId="0" fontId="28" fillId="0" borderId="31" xfId="0" applyFont="1" applyBorder="1" applyAlignment="1" applyProtection="1">
      <alignment horizontal="center" vertical="center"/>
    </xf>
    <xf numFmtId="0" fontId="27" fillId="0" borderId="5" xfId="0" applyFont="1" applyBorder="1" applyAlignment="1" applyProtection="1">
      <alignment vertical="center" shrinkToFit="1"/>
    </xf>
    <xf numFmtId="0" fontId="27" fillId="0" borderId="0" xfId="0" applyFont="1" applyBorder="1" applyAlignment="1" applyProtection="1">
      <alignment vertical="center"/>
    </xf>
    <xf numFmtId="0" fontId="28" fillId="2" borderId="169" xfId="0" applyFont="1" applyFill="1" applyBorder="1" applyAlignment="1" applyProtection="1">
      <alignment vertical="center" shrinkToFit="1"/>
    </xf>
    <xf numFmtId="0" fontId="28" fillId="4" borderId="169" xfId="0" applyFont="1" applyFill="1" applyBorder="1" applyAlignment="1" applyProtection="1">
      <alignment vertical="center" shrinkToFit="1"/>
      <protection locked="0"/>
    </xf>
    <xf numFmtId="0" fontId="28" fillId="4" borderId="170" xfId="0" applyFont="1" applyFill="1" applyBorder="1" applyAlignment="1" applyProtection="1">
      <alignment vertical="center" shrinkToFit="1"/>
      <protection locked="0"/>
    </xf>
    <xf numFmtId="0" fontId="28" fillId="4" borderId="171" xfId="0" applyFont="1" applyFill="1" applyBorder="1" applyAlignment="1" applyProtection="1">
      <alignment vertical="center" shrinkToFit="1"/>
      <protection locked="0"/>
    </xf>
    <xf numFmtId="14" fontId="10" fillId="4" borderId="175" xfId="3" applyNumberFormat="1" applyFont="1" applyFill="1" applyBorder="1" applyAlignment="1" applyProtection="1">
      <alignment vertical="center" shrinkToFit="1"/>
      <protection locked="0"/>
    </xf>
    <xf numFmtId="0" fontId="4" fillId="2" borderId="190" xfId="3" applyFont="1" applyFill="1" applyBorder="1" applyAlignment="1" applyProtection="1">
      <alignment horizontal="center" vertical="center" shrinkToFit="1"/>
    </xf>
    <xf numFmtId="198" fontId="31" fillId="4" borderId="194" xfId="3" applyNumberFormat="1" applyFont="1" applyFill="1" applyBorder="1" applyAlignment="1" applyProtection="1">
      <alignment horizontal="right" vertical="center" shrinkToFit="1"/>
      <protection locked="0"/>
    </xf>
    <xf numFmtId="0" fontId="4" fillId="2" borderId="196" xfId="3" applyFont="1" applyFill="1" applyBorder="1" applyAlignment="1" applyProtection="1">
      <alignment horizontal="center" vertical="center" shrinkToFit="1"/>
    </xf>
    <xf numFmtId="198" fontId="31" fillId="4" borderId="170" xfId="3" applyNumberFormat="1" applyFont="1" applyFill="1" applyBorder="1" applyAlignment="1" applyProtection="1">
      <alignment horizontal="right" vertical="center" shrinkToFit="1"/>
      <protection locked="0"/>
    </xf>
    <xf numFmtId="0" fontId="4" fillId="2" borderId="198" xfId="3" applyFont="1" applyFill="1" applyBorder="1" applyAlignment="1" applyProtection="1">
      <alignment horizontal="center" vertical="center" shrinkToFit="1"/>
    </xf>
    <xf numFmtId="198" fontId="31" fillId="4" borderId="187" xfId="3" applyNumberFormat="1" applyFont="1" applyFill="1" applyBorder="1" applyAlignment="1" applyProtection="1">
      <alignment horizontal="right" vertical="center" shrinkToFit="1"/>
      <protection locked="0"/>
    </xf>
    <xf numFmtId="0" fontId="27" fillId="6" borderId="193" xfId="0" applyFont="1" applyFill="1" applyBorder="1" applyAlignment="1" applyProtection="1">
      <alignment horizontal="center" vertical="center" shrinkToFit="1"/>
      <protection locked="0"/>
    </xf>
    <xf numFmtId="0" fontId="27" fillId="6" borderId="177" xfId="0" applyFont="1" applyFill="1" applyBorder="1" applyAlignment="1" applyProtection="1">
      <alignment horizontal="center" vertical="center" shrinkToFit="1"/>
      <protection locked="0"/>
    </xf>
    <xf numFmtId="0" fontId="27" fillId="6" borderId="200" xfId="0" applyFont="1" applyFill="1" applyBorder="1" applyAlignment="1" applyProtection="1">
      <alignment horizontal="center" vertical="center" shrinkToFit="1"/>
      <protection locked="0"/>
    </xf>
    <xf numFmtId="0" fontId="27" fillId="0" borderId="4" xfId="0" applyFont="1" applyBorder="1" applyAlignment="1" applyProtection="1">
      <alignment horizontal="center" vertical="center"/>
    </xf>
    <xf numFmtId="0" fontId="27" fillId="0" borderId="14" xfId="0" applyFont="1" applyBorder="1" applyAlignment="1" applyProtection="1">
      <alignment horizontal="center" vertical="center"/>
    </xf>
    <xf numFmtId="0" fontId="0" fillId="0" borderId="4" xfId="0" applyBorder="1" applyProtection="1">
      <alignment vertical="center"/>
    </xf>
    <xf numFmtId="0" fontId="0" fillId="0" borderId="4" xfId="0" applyBorder="1" applyAlignment="1" applyProtection="1">
      <alignment horizontal="center" vertical="center"/>
    </xf>
    <xf numFmtId="0" fontId="0" fillId="0" borderId="0" xfId="0" applyProtection="1">
      <alignment vertical="center"/>
    </xf>
    <xf numFmtId="14" fontId="0" fillId="0" borderId="4" xfId="0" applyNumberFormat="1" applyBorder="1" applyProtection="1">
      <alignment vertical="center"/>
    </xf>
    <xf numFmtId="0" fontId="0" fillId="0" borderId="6" xfId="0" applyBorder="1" applyProtection="1">
      <alignment vertical="center"/>
    </xf>
    <xf numFmtId="0" fontId="0" fillId="0" borderId="23" xfId="0" applyBorder="1" applyProtection="1">
      <alignment vertical="center"/>
    </xf>
    <xf numFmtId="0" fontId="0" fillId="0" borderId="25" xfId="0" applyBorder="1" applyProtection="1">
      <alignment vertical="center"/>
    </xf>
    <xf numFmtId="0" fontId="0" fillId="0" borderId="4" xfId="0" applyBorder="1" applyAlignment="1" applyProtection="1">
      <alignment horizontal="center" vertical="center" shrinkToFit="1"/>
    </xf>
    <xf numFmtId="0" fontId="0" fillId="0" borderId="6" xfId="0" applyBorder="1" applyAlignment="1" applyProtection="1">
      <alignment horizontal="center" vertical="center" shrinkToFit="1"/>
    </xf>
    <xf numFmtId="0" fontId="10" fillId="0" borderId="0" xfId="0" applyFont="1" applyFill="1" applyBorder="1" applyAlignment="1" applyProtection="1">
      <alignment vertical="center" shrinkToFit="1"/>
    </xf>
    <xf numFmtId="0" fontId="28" fillId="0" borderId="4" xfId="0" applyFont="1" applyBorder="1" applyAlignment="1" applyProtection="1">
      <alignment horizontal="center" vertical="center"/>
    </xf>
    <xf numFmtId="0" fontId="10" fillId="0" borderId="0" xfId="0" applyFont="1" applyBorder="1" applyAlignment="1" applyProtection="1">
      <alignment horizontal="center" vertical="center"/>
    </xf>
    <xf numFmtId="0" fontId="10" fillId="0" borderId="32" xfId="0" applyFont="1" applyBorder="1" applyAlignment="1" applyProtection="1">
      <alignment horizontal="center" vertical="center"/>
    </xf>
    <xf numFmtId="0" fontId="12" fillId="0" borderId="4" xfId="0" applyFont="1" applyBorder="1" applyAlignment="1" applyProtection="1">
      <alignment horizontal="center" vertical="center"/>
    </xf>
    <xf numFmtId="0" fontId="27" fillId="0" borderId="0" xfId="0" applyFont="1" applyBorder="1" applyAlignment="1" applyProtection="1">
      <alignment horizontal="center" vertical="center"/>
    </xf>
    <xf numFmtId="0" fontId="4" fillId="2" borderId="38" xfId="3" applyFont="1" applyFill="1" applyBorder="1" applyAlignment="1" applyProtection="1">
      <alignment horizontal="center" vertical="center"/>
    </xf>
    <xf numFmtId="0" fontId="28" fillId="0" borderId="4" xfId="0" applyFont="1" applyBorder="1" applyProtection="1">
      <alignment vertical="center"/>
    </xf>
    <xf numFmtId="0" fontId="10" fillId="0" borderId="0" xfId="3" applyFont="1" applyAlignment="1" applyProtection="1">
      <alignment vertical="center"/>
    </xf>
    <xf numFmtId="0" fontId="10" fillId="3" borderId="220" xfId="3" applyFont="1" applyFill="1" applyBorder="1" applyAlignment="1" applyProtection="1">
      <alignment horizontal="center" vertical="center"/>
    </xf>
    <xf numFmtId="0" fontId="10" fillId="3" borderId="221" xfId="3" applyFont="1" applyFill="1" applyBorder="1" applyAlignment="1" applyProtection="1">
      <alignment horizontal="center" vertical="center"/>
    </xf>
    <xf numFmtId="0" fontId="10" fillId="3" borderId="222" xfId="3" applyFont="1" applyFill="1" applyBorder="1" applyAlignment="1" applyProtection="1">
      <alignment horizontal="center" vertical="center"/>
    </xf>
    <xf numFmtId="2" fontId="50" fillId="0" borderId="0" xfId="3" applyNumberFormat="1" applyFont="1" applyBorder="1" applyAlignment="1" applyProtection="1">
      <alignment vertical="center"/>
    </xf>
    <xf numFmtId="2" fontId="50" fillId="0" borderId="0" xfId="3" applyNumberFormat="1" applyFont="1" applyBorder="1" applyAlignment="1" applyProtection="1">
      <alignment horizontal="center" vertical="center"/>
    </xf>
    <xf numFmtId="0" fontId="28" fillId="0" borderId="228" xfId="0" applyFont="1" applyBorder="1" applyAlignment="1" applyProtection="1">
      <alignment horizontal="center" vertical="center" shrinkToFit="1"/>
    </xf>
    <xf numFmtId="0" fontId="28" fillId="0" borderId="228" xfId="0" applyFont="1" applyBorder="1" applyAlignment="1" applyProtection="1">
      <alignment horizontal="center" vertical="center"/>
    </xf>
    <xf numFmtId="0" fontId="28" fillId="0" borderId="229" xfId="0" applyFont="1" applyBorder="1" applyAlignment="1" applyProtection="1">
      <alignment horizontal="center" vertical="center"/>
    </xf>
    <xf numFmtId="0" fontId="28" fillId="0" borderId="230" xfId="0" applyFont="1" applyBorder="1" applyAlignment="1" applyProtection="1">
      <alignment horizontal="center" vertical="center"/>
    </xf>
    <xf numFmtId="0" fontId="28" fillId="0" borderId="44" xfId="0" applyFont="1" applyBorder="1" applyAlignment="1" applyProtection="1">
      <alignment horizontal="center" vertical="center" shrinkToFit="1"/>
    </xf>
    <xf numFmtId="0" fontId="28" fillId="0" borderId="3" xfId="0" applyFont="1" applyBorder="1" applyAlignment="1" applyProtection="1">
      <alignment horizontal="center" vertical="center" shrinkToFit="1"/>
    </xf>
    <xf numFmtId="0" fontId="28" fillId="0" borderId="45" xfId="0" applyFont="1" applyBorder="1" applyAlignment="1" applyProtection="1">
      <alignment horizontal="center" vertical="center" shrinkToFit="1"/>
    </xf>
    <xf numFmtId="0" fontId="28" fillId="0" borderId="231" xfId="0" applyFont="1" applyBorder="1" applyAlignment="1" applyProtection="1">
      <alignment vertical="center"/>
    </xf>
    <xf numFmtId="0" fontId="28" fillId="0" borderId="48" xfId="0" applyFont="1" applyBorder="1" applyAlignment="1" applyProtection="1">
      <alignment vertical="center"/>
    </xf>
    <xf numFmtId="0" fontId="28" fillId="0" borderId="232" xfId="0" applyFont="1" applyBorder="1" applyAlignment="1" applyProtection="1">
      <alignment horizontal="center" vertical="center" shrinkToFit="1"/>
    </xf>
    <xf numFmtId="0" fontId="28" fillId="0" borderId="91" xfId="0" applyFont="1" applyBorder="1" applyAlignment="1" applyProtection="1">
      <alignment horizontal="center" vertical="center" shrinkToFit="1"/>
    </xf>
    <xf numFmtId="0" fontId="28" fillId="0" borderId="233" xfId="0" applyFont="1" applyBorder="1" applyAlignment="1" applyProtection="1">
      <alignment vertical="center"/>
    </xf>
    <xf numFmtId="0" fontId="28" fillId="0" borderId="98" xfId="0" applyFont="1" applyBorder="1" applyAlignment="1" applyProtection="1">
      <alignment vertical="center" shrinkToFit="1"/>
    </xf>
    <xf numFmtId="0" fontId="28" fillId="0" borderId="20" xfId="0" applyFont="1" applyBorder="1" applyAlignment="1" applyProtection="1">
      <alignment vertical="center" shrinkToFit="1"/>
    </xf>
    <xf numFmtId="0" fontId="28" fillId="0" borderId="70" xfId="0" applyFont="1" applyBorder="1" applyAlignment="1" applyProtection="1">
      <alignment horizontal="center" vertical="center" shrinkToFit="1"/>
    </xf>
    <xf numFmtId="0" fontId="28" fillId="0" borderId="4" xfId="0" applyFont="1" applyBorder="1" applyAlignment="1" applyProtection="1">
      <alignment horizontal="center" vertical="center" shrinkToFit="1"/>
    </xf>
    <xf numFmtId="0" fontId="28" fillId="0" borderId="68" xfId="0" applyFont="1" applyBorder="1" applyAlignment="1" applyProtection="1">
      <alignment horizontal="center" vertical="center" shrinkToFit="1"/>
    </xf>
    <xf numFmtId="0" fontId="28" fillId="0" borderId="238" xfId="0" applyFont="1" applyBorder="1" applyAlignment="1" applyProtection="1">
      <alignment horizontal="center" vertical="center" shrinkToFit="1"/>
    </xf>
    <xf numFmtId="0" fontId="28" fillId="0" borderId="238" xfId="0" applyFont="1" applyBorder="1" applyAlignment="1" applyProtection="1">
      <alignment vertical="center"/>
    </xf>
    <xf numFmtId="0" fontId="28" fillId="0" borderId="62" xfId="0" applyFont="1" applyBorder="1" applyAlignment="1" applyProtection="1">
      <alignment vertical="center"/>
    </xf>
    <xf numFmtId="0" fontId="28" fillId="0" borderId="239" xfId="0" applyFont="1" applyBorder="1" applyAlignment="1" applyProtection="1">
      <alignment vertical="center"/>
    </xf>
    <xf numFmtId="0" fontId="28" fillId="0" borderId="17" xfId="0" applyFont="1" applyBorder="1" applyAlignment="1" applyProtection="1">
      <alignment vertical="center" shrinkToFit="1"/>
    </xf>
    <xf numFmtId="0" fontId="28" fillId="0" borderId="31" xfId="0" applyFont="1" applyBorder="1" applyAlignment="1" applyProtection="1">
      <alignment horizontal="center" vertical="center" shrinkToFit="1"/>
    </xf>
    <xf numFmtId="0" fontId="28" fillId="0" borderId="5" xfId="0" applyFont="1" applyBorder="1" applyAlignment="1" applyProtection="1">
      <alignment horizontal="center" vertical="center" shrinkToFit="1"/>
    </xf>
    <xf numFmtId="0" fontId="28" fillId="0" borderId="69" xfId="0" applyFont="1" applyBorder="1" applyAlignment="1" applyProtection="1">
      <alignment horizontal="center" vertical="center" shrinkToFit="1"/>
    </xf>
    <xf numFmtId="0" fontId="28" fillId="0" borderId="244" xfId="0" applyFont="1" applyBorder="1" applyAlignment="1" applyProtection="1">
      <alignment horizontal="center" vertical="center" shrinkToFit="1"/>
    </xf>
    <xf numFmtId="0" fontId="10" fillId="0" borderId="244" xfId="3" applyFont="1" applyBorder="1" applyAlignment="1" applyProtection="1">
      <alignment vertical="center" shrinkToFit="1"/>
    </xf>
    <xf numFmtId="0" fontId="10" fillId="0" borderId="92" xfId="3" applyFont="1" applyBorder="1" applyAlignment="1" applyProtection="1">
      <alignment vertical="center" shrinkToFit="1"/>
    </xf>
    <xf numFmtId="0" fontId="10" fillId="0" borderId="245" xfId="3" applyFont="1" applyBorder="1" applyAlignment="1" applyProtection="1">
      <alignment vertical="center" shrinkToFit="1"/>
    </xf>
    <xf numFmtId="0" fontId="28" fillId="0" borderId="93" xfId="0" applyFont="1" applyBorder="1" applyAlignment="1" applyProtection="1">
      <alignment vertical="center" shrinkToFit="1"/>
    </xf>
    <xf numFmtId="0" fontId="28" fillId="0" borderId="4" xfId="0" applyFont="1" applyBorder="1" applyAlignment="1" applyProtection="1">
      <alignment vertical="center"/>
    </xf>
    <xf numFmtId="0" fontId="10" fillId="0" borderId="246" xfId="3" applyNumberFormat="1" applyFont="1" applyBorder="1" applyAlignment="1" applyProtection="1">
      <alignment horizontal="center" vertical="center" shrinkToFit="1"/>
    </xf>
    <xf numFmtId="0" fontId="10" fillId="4" borderId="247" xfId="3" applyFont="1" applyFill="1" applyBorder="1" applyAlignment="1" applyProtection="1">
      <alignment horizontal="center" vertical="center" shrinkToFit="1"/>
      <protection locked="0"/>
    </xf>
    <xf numFmtId="0" fontId="10" fillId="6" borderId="249" xfId="3" applyFont="1" applyFill="1" applyBorder="1" applyAlignment="1" applyProtection="1">
      <alignment horizontal="center" vertical="center" shrinkToFit="1"/>
      <protection locked="0"/>
    </xf>
    <xf numFmtId="14" fontId="10" fillId="4" borderId="248" xfId="3" applyNumberFormat="1" applyFont="1" applyFill="1" applyBorder="1" applyAlignment="1" applyProtection="1">
      <alignment vertical="center" shrinkToFit="1"/>
      <protection locked="0"/>
    </xf>
    <xf numFmtId="0" fontId="10" fillId="4" borderId="248" xfId="3" applyFont="1" applyFill="1" applyBorder="1" applyAlignment="1" applyProtection="1">
      <alignment vertical="center" shrinkToFit="1"/>
      <protection locked="0"/>
    </xf>
    <xf numFmtId="192" fontId="28" fillId="0" borderId="44" xfId="0" applyNumberFormat="1" applyFont="1" applyBorder="1" applyAlignment="1" applyProtection="1">
      <alignment horizontal="right" vertical="center" shrinkToFit="1"/>
    </xf>
    <xf numFmtId="192" fontId="28" fillId="0" borderId="3" xfId="0" applyNumberFormat="1" applyFont="1" applyBorder="1" applyAlignment="1" applyProtection="1">
      <alignment horizontal="right" vertical="center" shrinkToFit="1"/>
    </xf>
    <xf numFmtId="192" fontId="28" fillId="0" borderId="45" xfId="0" applyNumberFormat="1" applyFont="1" applyBorder="1" applyAlignment="1" applyProtection="1">
      <alignment horizontal="right" vertical="center" shrinkToFit="1"/>
    </xf>
    <xf numFmtId="0" fontId="28" fillId="0" borderId="232" xfId="0" applyFont="1" applyBorder="1" applyAlignment="1" applyProtection="1">
      <alignment horizontal="right" vertical="center" shrinkToFit="1"/>
    </xf>
    <xf numFmtId="0" fontId="28" fillId="0" borderId="45" xfId="0" applyFont="1" applyBorder="1" applyAlignment="1" applyProtection="1">
      <alignment horizontal="right" vertical="center" shrinkToFit="1"/>
    </xf>
    <xf numFmtId="0" fontId="28" fillId="0" borderId="91" xfId="0" applyFont="1" applyBorder="1" applyAlignment="1" applyProtection="1">
      <alignment horizontal="right" vertical="center" shrinkToFit="1"/>
    </xf>
    <xf numFmtId="0" fontId="28" fillId="0" borderId="233" xfId="0" applyFont="1" applyBorder="1" applyAlignment="1" applyProtection="1">
      <alignment horizontal="right" vertical="center" shrinkToFit="1"/>
    </xf>
    <xf numFmtId="0" fontId="10" fillId="0" borderId="252" xfId="3" applyNumberFormat="1" applyFont="1" applyBorder="1" applyAlignment="1" applyProtection="1">
      <alignment horizontal="center" vertical="center" shrinkToFit="1"/>
    </xf>
    <xf numFmtId="0" fontId="10" fillId="4" borderId="177" xfId="3" applyFont="1" applyFill="1" applyBorder="1" applyAlignment="1" applyProtection="1">
      <alignment horizontal="center" vertical="center" shrinkToFit="1"/>
      <protection locked="0"/>
    </xf>
    <xf numFmtId="0" fontId="10" fillId="6" borderId="253" xfId="3" applyFont="1" applyFill="1" applyBorder="1" applyAlignment="1" applyProtection="1">
      <alignment horizontal="center" vertical="center" shrinkToFit="1"/>
      <protection locked="0"/>
    </xf>
    <xf numFmtId="0" fontId="10" fillId="4" borderId="175" xfId="3" applyFont="1" applyFill="1" applyBorder="1" applyAlignment="1" applyProtection="1">
      <alignment vertical="center" shrinkToFit="1"/>
      <protection locked="0"/>
    </xf>
    <xf numFmtId="192" fontId="28" fillId="0" borderId="70" xfId="0" applyNumberFormat="1" applyFont="1" applyBorder="1" applyAlignment="1" applyProtection="1">
      <alignment horizontal="right" vertical="center" shrinkToFit="1"/>
    </xf>
    <xf numFmtId="192" fontId="28" fillId="0" borderId="4" xfId="0" applyNumberFormat="1" applyFont="1" applyBorder="1" applyAlignment="1" applyProtection="1">
      <alignment horizontal="right" vertical="center" shrinkToFit="1"/>
    </xf>
    <xf numFmtId="192" fontId="28" fillId="0" borderId="68" xfId="0" applyNumberFormat="1" applyFont="1" applyBorder="1" applyAlignment="1" applyProtection="1">
      <alignment horizontal="right" vertical="center" shrinkToFit="1"/>
    </xf>
    <xf numFmtId="0" fontId="28" fillId="0" borderId="238" xfId="0" applyFont="1" applyBorder="1" applyAlignment="1" applyProtection="1">
      <alignment horizontal="right" vertical="center" shrinkToFit="1"/>
    </xf>
    <xf numFmtId="0" fontId="28" fillId="0" borderId="4" xfId="0" applyFont="1" applyBorder="1" applyAlignment="1" applyProtection="1">
      <alignment horizontal="right" vertical="center" shrinkToFit="1"/>
    </xf>
    <xf numFmtId="0" fontId="28" fillId="0" borderId="62" xfId="0" applyFont="1" applyBorder="1" applyAlignment="1" applyProtection="1">
      <alignment horizontal="right" vertical="center" shrinkToFit="1"/>
    </xf>
    <xf numFmtId="0" fontId="28" fillId="0" borderId="167" xfId="0" applyFont="1" applyBorder="1" applyAlignment="1" applyProtection="1">
      <alignment horizontal="right" vertical="center" shrinkToFit="1"/>
    </xf>
    <xf numFmtId="0" fontId="28" fillId="0" borderId="255" xfId="0" applyFont="1" applyBorder="1" applyAlignment="1" applyProtection="1">
      <alignment horizontal="right" vertical="center" shrinkToFit="1"/>
    </xf>
    <xf numFmtId="0" fontId="28" fillId="0" borderId="0" xfId="0" applyFont="1" applyBorder="1" applyAlignment="1" applyProtection="1">
      <alignment vertical="center" shrinkToFit="1"/>
    </xf>
    <xf numFmtId="0" fontId="28" fillId="0" borderId="0" xfId="0" applyFont="1" applyBorder="1" applyProtection="1">
      <alignment vertical="center"/>
    </xf>
    <xf numFmtId="0" fontId="10" fillId="0" borderId="256" xfId="3" applyNumberFormat="1" applyFont="1" applyBorder="1" applyAlignment="1" applyProtection="1">
      <alignment horizontal="center" vertical="center" shrinkToFit="1"/>
    </xf>
    <xf numFmtId="0" fontId="10" fillId="4" borderId="180" xfId="3" applyFont="1" applyFill="1" applyBorder="1" applyAlignment="1" applyProtection="1">
      <alignment horizontal="center" vertical="center" shrinkToFit="1"/>
      <protection locked="0"/>
    </xf>
    <xf numFmtId="0" fontId="10" fillId="6" borderId="257" xfId="3" applyFont="1" applyFill="1" applyBorder="1" applyAlignment="1" applyProtection="1">
      <alignment horizontal="center" vertical="center" shrinkToFit="1"/>
      <protection locked="0"/>
    </xf>
    <xf numFmtId="14" fontId="10" fillId="4" borderId="178" xfId="3" applyNumberFormat="1" applyFont="1" applyFill="1" applyBorder="1" applyAlignment="1" applyProtection="1">
      <alignment vertical="center" shrinkToFit="1"/>
      <protection locked="0"/>
    </xf>
    <xf numFmtId="0" fontId="10" fillId="4" borderId="178" xfId="3" applyFont="1" applyFill="1" applyBorder="1" applyAlignment="1" applyProtection="1">
      <alignment vertical="center" shrinkToFit="1"/>
      <protection locked="0"/>
    </xf>
    <xf numFmtId="192" fontId="28" fillId="0" borderId="31" xfId="0" applyNumberFormat="1" applyFont="1" applyBorder="1" applyAlignment="1" applyProtection="1">
      <alignment horizontal="right" vertical="center" shrinkToFit="1"/>
    </xf>
    <xf numFmtId="192" fontId="28" fillId="0" borderId="5" xfId="0" applyNumberFormat="1" applyFont="1" applyBorder="1" applyAlignment="1" applyProtection="1">
      <alignment horizontal="right" vertical="center" shrinkToFit="1"/>
    </xf>
    <xf numFmtId="192" fontId="28" fillId="0" borderId="69" xfId="0" applyNumberFormat="1" applyFont="1" applyBorder="1" applyAlignment="1" applyProtection="1">
      <alignment horizontal="right" vertical="center" shrinkToFit="1"/>
    </xf>
    <xf numFmtId="0" fontId="28" fillId="0" borderId="244" xfId="0" applyFont="1" applyBorder="1" applyAlignment="1" applyProtection="1">
      <alignment horizontal="right" vertical="center" shrinkToFit="1"/>
    </xf>
    <xf numFmtId="0" fontId="28" fillId="0" borderId="5" xfId="0" applyFont="1" applyBorder="1" applyAlignment="1" applyProtection="1">
      <alignment horizontal="right" vertical="center" shrinkToFit="1"/>
    </xf>
    <xf numFmtId="0" fontId="28" fillId="0" borderId="92" xfId="0" applyFont="1" applyBorder="1" applyAlignment="1" applyProtection="1">
      <alignment horizontal="right" vertical="center" shrinkToFit="1"/>
    </xf>
    <xf numFmtId="0" fontId="28" fillId="0" borderId="259" xfId="0" applyFont="1" applyBorder="1" applyAlignment="1" applyProtection="1">
      <alignment horizontal="right" vertical="center" shrinkToFit="1"/>
    </xf>
    <xf numFmtId="0" fontId="28" fillId="0" borderId="260" xfId="0" applyFont="1" applyBorder="1" applyAlignment="1" applyProtection="1">
      <alignment horizontal="right" vertical="center" shrinkToFit="1"/>
    </xf>
    <xf numFmtId="0" fontId="28" fillId="0" borderId="55" xfId="0" applyFont="1" applyBorder="1" applyAlignment="1" applyProtection="1">
      <alignment vertical="center" shrinkToFit="1"/>
    </xf>
    <xf numFmtId="0" fontId="28" fillId="0" borderId="38" xfId="0" applyFont="1" applyBorder="1" applyAlignment="1" applyProtection="1">
      <alignment vertical="center" shrinkToFit="1"/>
    </xf>
    <xf numFmtId="0" fontId="29" fillId="0" borderId="23" xfId="0" applyFont="1" applyBorder="1" applyAlignment="1" applyProtection="1">
      <alignment horizontal="center" vertical="center" shrinkToFit="1"/>
    </xf>
    <xf numFmtId="0" fontId="29" fillId="0" borderId="25" xfId="0" applyFont="1" applyBorder="1" applyAlignment="1" applyProtection="1">
      <alignment horizontal="center" vertical="center" shrinkToFit="1"/>
    </xf>
    <xf numFmtId="0" fontId="29" fillId="0" borderId="109" xfId="0" applyFont="1" applyBorder="1" applyAlignment="1" applyProtection="1">
      <alignment horizontal="center" vertical="center"/>
    </xf>
    <xf numFmtId="0" fontId="29" fillId="0" borderId="24" xfId="0" applyFont="1" applyBorder="1" applyAlignment="1" applyProtection="1">
      <alignment horizontal="center" vertical="center"/>
    </xf>
    <xf numFmtId="0" fontId="29" fillId="0" borderId="25" xfId="0" applyFont="1" applyBorder="1" applyAlignment="1" applyProtection="1">
      <alignment horizontal="center" vertical="center"/>
    </xf>
    <xf numFmtId="0" fontId="28" fillId="0" borderId="7" xfId="0" applyFont="1" applyBorder="1" applyAlignment="1" applyProtection="1">
      <alignment vertical="center"/>
    </xf>
    <xf numFmtId="0" fontId="29" fillId="0" borderId="71" xfId="0" applyFont="1" applyBorder="1" applyAlignment="1" applyProtection="1">
      <alignment horizontal="center" vertical="center" shrinkToFit="1"/>
    </xf>
    <xf numFmtId="0" fontId="29" fillId="0" borderId="3" xfId="0" applyFont="1" applyBorder="1" applyAlignment="1" applyProtection="1">
      <alignment horizontal="center" vertical="center" shrinkToFit="1"/>
    </xf>
    <xf numFmtId="0" fontId="28" fillId="0" borderId="45" xfId="0" applyFont="1" applyBorder="1" applyAlignment="1" applyProtection="1">
      <alignment vertical="center"/>
    </xf>
    <xf numFmtId="192" fontId="28" fillId="0" borderId="4" xfId="0" applyNumberFormat="1" applyFont="1" applyBorder="1" applyAlignment="1" applyProtection="1">
      <alignment horizontal="center" vertical="center" shrinkToFit="1"/>
    </xf>
    <xf numFmtId="0" fontId="28" fillId="0" borderId="14" xfId="0" applyFont="1" applyBorder="1" applyAlignment="1" applyProtection="1">
      <alignment vertical="center"/>
    </xf>
    <xf numFmtId="0" fontId="28" fillId="0" borderId="68" xfId="0" applyFont="1" applyBorder="1" applyAlignment="1" applyProtection="1">
      <alignment vertical="center"/>
    </xf>
    <xf numFmtId="0" fontId="10" fillId="0" borderId="54" xfId="3" applyFont="1" applyBorder="1" applyAlignment="1" applyProtection="1">
      <alignment vertical="center" shrinkToFit="1"/>
    </xf>
    <xf numFmtId="0" fontId="10" fillId="0" borderId="5" xfId="3" applyFont="1" applyBorder="1" applyAlignment="1" applyProtection="1">
      <alignment vertical="center" shrinkToFit="1"/>
    </xf>
    <xf numFmtId="0" fontId="10" fillId="0" borderId="69" xfId="3" applyFont="1" applyBorder="1" applyAlignment="1" applyProtection="1">
      <alignment vertical="center" shrinkToFit="1"/>
    </xf>
    <xf numFmtId="0" fontId="10" fillId="4" borderId="193" xfId="3" applyFont="1" applyFill="1" applyBorder="1" applyAlignment="1" applyProtection="1">
      <alignment horizontal="center" vertical="center" shrinkToFit="1"/>
      <protection locked="0"/>
    </xf>
    <xf numFmtId="0" fontId="10" fillId="6" borderId="192" xfId="3" applyFont="1" applyFill="1" applyBorder="1" applyAlignment="1" applyProtection="1">
      <alignment horizontal="center" vertical="center" shrinkToFit="1"/>
      <protection locked="0"/>
    </xf>
    <xf numFmtId="0" fontId="10" fillId="6" borderId="261" xfId="3" applyFont="1" applyFill="1" applyBorder="1" applyAlignment="1" applyProtection="1">
      <alignment horizontal="center" vertical="center" shrinkToFit="1"/>
      <protection locked="0"/>
    </xf>
    <xf numFmtId="14" fontId="10" fillId="4" borderId="192" xfId="3" applyNumberFormat="1" applyFont="1" applyFill="1" applyBorder="1" applyAlignment="1" applyProtection="1">
      <alignment vertical="center" shrinkToFit="1"/>
      <protection locked="0"/>
    </xf>
    <xf numFmtId="0" fontId="10" fillId="4" borderId="192" xfId="3" applyFont="1" applyFill="1" applyBorder="1" applyAlignment="1" applyProtection="1">
      <alignment vertical="center" shrinkToFit="1"/>
      <protection locked="0"/>
    </xf>
    <xf numFmtId="0" fontId="28" fillId="0" borderId="44" xfId="0" applyFont="1" applyBorder="1" applyAlignment="1" applyProtection="1">
      <alignment horizontal="right" vertical="center" shrinkToFit="1"/>
    </xf>
    <xf numFmtId="0" fontId="28" fillId="0" borderId="3" xfId="0" applyFont="1" applyBorder="1" applyAlignment="1" applyProtection="1">
      <alignment horizontal="right" vertical="center" shrinkToFit="1"/>
    </xf>
    <xf numFmtId="0" fontId="28" fillId="0" borderId="27" xfId="0" applyFont="1" applyBorder="1" applyAlignment="1" applyProtection="1">
      <alignment horizontal="right" vertical="center" shrinkToFit="1"/>
    </xf>
    <xf numFmtId="0" fontId="10" fillId="6" borderId="175" xfId="3" applyFont="1" applyFill="1" applyBorder="1" applyAlignment="1" applyProtection="1">
      <alignment horizontal="center" vertical="center" shrinkToFit="1"/>
      <protection locked="0"/>
    </xf>
    <xf numFmtId="0" fontId="28" fillId="0" borderId="70" xfId="0" applyFont="1" applyBorder="1" applyAlignment="1" applyProtection="1">
      <alignment horizontal="right" vertical="center" shrinkToFit="1"/>
    </xf>
    <xf numFmtId="0" fontId="28" fillId="0" borderId="20" xfId="0" applyFont="1" applyBorder="1" applyAlignment="1" applyProtection="1">
      <alignment horizontal="right" vertical="center" shrinkToFit="1"/>
    </xf>
    <xf numFmtId="0" fontId="28" fillId="0" borderId="48" xfId="0" applyFont="1" applyBorder="1" applyAlignment="1" applyProtection="1">
      <alignment horizontal="right" vertical="center" shrinkToFit="1"/>
    </xf>
    <xf numFmtId="0" fontId="10" fillId="6" borderId="178" xfId="3" applyFont="1" applyFill="1" applyBorder="1" applyAlignment="1" applyProtection="1">
      <alignment horizontal="center" vertical="center" shrinkToFit="1"/>
      <protection locked="0"/>
    </xf>
    <xf numFmtId="0" fontId="28" fillId="0" borderId="31" xfId="0" applyFont="1" applyBorder="1" applyAlignment="1" applyProtection="1">
      <alignment horizontal="right" vertical="center" shrinkToFit="1"/>
    </xf>
    <xf numFmtId="0" fontId="28" fillId="0" borderId="55" xfId="0" applyFont="1" applyBorder="1" applyAlignment="1" applyProtection="1">
      <alignment horizontal="right" vertical="center" shrinkToFit="1"/>
    </xf>
    <xf numFmtId="0" fontId="28" fillId="0" borderId="69" xfId="0" applyFont="1" applyBorder="1" applyAlignment="1" applyProtection="1">
      <alignment horizontal="right" vertical="center" shrinkToFit="1"/>
    </xf>
    <xf numFmtId="0" fontId="28" fillId="0" borderId="161" xfId="0" applyFont="1" applyFill="1" applyBorder="1" applyAlignment="1" applyProtection="1">
      <alignment horizontal="right" vertical="center" shrinkToFit="1"/>
    </xf>
    <xf numFmtId="0" fontId="28" fillId="0" borderId="71" xfId="0" applyFont="1" applyBorder="1" applyAlignment="1" applyProtection="1">
      <alignment horizontal="right" vertical="center" shrinkToFit="1"/>
    </xf>
    <xf numFmtId="0" fontId="28" fillId="0" borderId="72" xfId="0" applyFont="1" applyBorder="1" applyAlignment="1" applyProtection="1">
      <alignment horizontal="right" vertical="center" shrinkToFit="1"/>
    </xf>
    <xf numFmtId="0" fontId="10" fillId="2" borderId="0" xfId="3" applyFont="1" applyFill="1" applyBorder="1" applyAlignment="1" applyProtection="1">
      <alignment vertical="center"/>
    </xf>
    <xf numFmtId="0" fontId="28" fillId="0" borderId="162" xfId="0" applyFont="1" applyFill="1" applyBorder="1" applyAlignment="1" applyProtection="1">
      <alignment horizontal="right" vertical="center" shrinkToFit="1"/>
    </xf>
    <xf numFmtId="0" fontId="28" fillId="0" borderId="18" xfId="0" applyFont="1" applyBorder="1" applyAlignment="1" applyProtection="1">
      <alignment horizontal="right" vertical="center" shrinkToFit="1"/>
    </xf>
    <xf numFmtId="0" fontId="28" fillId="0" borderId="68" xfId="0" applyFont="1" applyBorder="1" applyAlignment="1" applyProtection="1">
      <alignment horizontal="right" vertical="center" shrinkToFit="1"/>
    </xf>
    <xf numFmtId="0" fontId="28" fillId="0" borderId="14" xfId="0" applyFont="1" applyBorder="1" applyAlignment="1" applyProtection="1">
      <alignment horizontal="right" vertical="center" shrinkToFit="1"/>
    </xf>
    <xf numFmtId="0" fontId="28" fillId="0" borderId="163" xfId="0" applyFont="1" applyFill="1" applyBorder="1" applyAlignment="1" applyProtection="1">
      <alignment horizontal="right" vertical="center" shrinkToFit="1"/>
    </xf>
    <xf numFmtId="0" fontId="28" fillId="0" borderId="54" xfId="0" applyFont="1" applyBorder="1" applyAlignment="1" applyProtection="1">
      <alignment horizontal="right" vertical="center" shrinkToFit="1"/>
    </xf>
    <xf numFmtId="0" fontId="28" fillId="0" borderId="0" xfId="0" applyFont="1" applyFill="1" applyAlignment="1" applyProtection="1">
      <alignment vertical="center"/>
    </xf>
    <xf numFmtId="0" fontId="28" fillId="0" borderId="68" xfId="0" applyFont="1" applyFill="1" applyBorder="1" applyAlignment="1" applyProtection="1">
      <alignment vertical="center"/>
    </xf>
    <xf numFmtId="0" fontId="28" fillId="0" borderId="70" xfId="0" applyFont="1" applyFill="1" applyBorder="1" applyAlignment="1" applyProtection="1">
      <alignment horizontal="center" vertical="center" shrinkToFit="1"/>
    </xf>
    <xf numFmtId="0" fontId="28" fillId="0" borderId="70" xfId="0" applyFont="1" applyFill="1" applyBorder="1" applyAlignment="1" applyProtection="1">
      <alignment horizontal="center" vertical="center" wrapText="1" shrinkToFit="1"/>
    </xf>
    <xf numFmtId="0" fontId="28" fillId="0" borderId="4" xfId="0" applyFont="1" applyFill="1" applyBorder="1" applyAlignment="1" applyProtection="1">
      <alignment horizontal="center" vertical="center" wrapText="1" shrinkToFit="1"/>
    </xf>
    <xf numFmtId="0" fontId="28" fillId="0" borderId="0" xfId="0" applyFont="1" applyFill="1" applyAlignment="1" applyProtection="1">
      <alignment horizontal="right" vertical="center"/>
    </xf>
    <xf numFmtId="0" fontId="28" fillId="0" borderId="70" xfId="0" applyFont="1" applyFill="1" applyBorder="1" applyAlignment="1" applyProtection="1">
      <alignment vertical="center"/>
    </xf>
    <xf numFmtId="0" fontId="28" fillId="0" borderId="31" xfId="0" applyFont="1" applyFill="1" applyBorder="1" applyAlignment="1" applyProtection="1">
      <alignment horizontal="center" vertical="center" shrinkToFit="1"/>
    </xf>
    <xf numFmtId="0" fontId="28" fillId="0" borderId="37" xfId="0" applyFont="1" applyFill="1" applyBorder="1" applyAlignment="1" applyProtection="1">
      <alignment vertical="center"/>
    </xf>
    <xf numFmtId="0" fontId="28" fillId="0" borderId="46" xfId="0" applyFont="1" applyFill="1" applyBorder="1" applyAlignment="1" applyProtection="1">
      <alignment horizontal="center" vertical="center" wrapText="1" shrinkToFit="1"/>
    </xf>
    <xf numFmtId="0" fontId="28" fillId="0" borderId="6" xfId="0" applyFont="1" applyFill="1" applyBorder="1" applyAlignment="1" applyProtection="1">
      <alignment horizontal="center" vertical="center" wrapText="1" shrinkToFit="1"/>
    </xf>
    <xf numFmtId="0" fontId="28" fillId="0" borderId="47" xfId="0" applyFont="1" applyFill="1" applyBorder="1" applyAlignment="1" applyProtection="1">
      <alignment vertical="center"/>
    </xf>
    <xf numFmtId="0" fontId="28" fillId="0" borderId="0" xfId="0" applyFont="1" applyFill="1" applyBorder="1" applyAlignment="1" applyProtection="1">
      <alignment horizontal="center" vertical="center"/>
    </xf>
    <xf numFmtId="0" fontId="28" fillId="0" borderId="23" xfId="0" applyFont="1" applyFill="1" applyBorder="1" applyAlignment="1" applyProtection="1">
      <alignment horizontal="center" vertical="center" shrinkToFit="1"/>
    </xf>
    <xf numFmtId="0" fontId="28" fillId="0" borderId="24" xfId="0" applyFont="1" applyFill="1" applyBorder="1" applyAlignment="1" applyProtection="1">
      <alignment horizontal="center" vertical="center" shrinkToFit="1"/>
    </xf>
    <xf numFmtId="0" fontId="28" fillId="0" borderId="41" xfId="0" applyFont="1" applyFill="1" applyBorder="1" applyAlignment="1" applyProtection="1">
      <alignment horizontal="center" vertical="center" shrinkToFit="1"/>
    </xf>
    <xf numFmtId="0" fontId="28" fillId="0" borderId="40" xfId="0" applyFont="1" applyFill="1" applyBorder="1" applyAlignment="1" applyProtection="1">
      <alignment horizontal="center" vertical="center" shrinkToFit="1"/>
    </xf>
    <xf numFmtId="0" fontId="28" fillId="0" borderId="109" xfId="0" applyFont="1" applyFill="1" applyBorder="1" applyAlignment="1" applyProtection="1">
      <alignment horizontal="center" vertical="center" shrinkToFit="1"/>
    </xf>
    <xf numFmtId="0" fontId="28" fillId="0" borderId="264" xfId="0" applyFont="1" applyFill="1" applyBorder="1" applyAlignment="1" applyProtection="1">
      <alignment horizontal="center" vertical="center" shrinkToFit="1"/>
    </xf>
    <xf numFmtId="0" fontId="28" fillId="0" borderId="71" xfId="0" applyFont="1" applyFill="1" applyBorder="1" applyAlignment="1" applyProtection="1">
      <alignment horizontal="center" vertical="center" shrinkToFit="1"/>
    </xf>
    <xf numFmtId="0" fontId="28" fillId="0" borderId="93" xfId="0" applyFont="1" applyFill="1" applyBorder="1" applyAlignment="1" applyProtection="1">
      <alignment horizontal="center" vertical="center" shrinkToFit="1"/>
    </xf>
    <xf numFmtId="0" fontId="28" fillId="0" borderId="265" xfId="0" applyFont="1" applyFill="1" applyBorder="1" applyAlignment="1" applyProtection="1">
      <alignment horizontal="center" vertical="center" shrinkToFit="1"/>
    </xf>
    <xf numFmtId="0" fontId="28" fillId="0" borderId="18" xfId="0" applyFont="1" applyFill="1" applyBorder="1" applyAlignment="1" applyProtection="1">
      <alignment horizontal="center" vertical="center" shrinkToFit="1"/>
    </xf>
    <xf numFmtId="0" fontId="28" fillId="0" borderId="0" xfId="0" applyFont="1" applyFill="1" applyBorder="1" applyAlignment="1" applyProtection="1">
      <alignment vertical="center"/>
    </xf>
    <xf numFmtId="0" fontId="28" fillId="0" borderId="0" xfId="0" applyFont="1" applyFill="1" applyProtection="1">
      <alignment vertical="center"/>
    </xf>
    <xf numFmtId="0" fontId="47" fillId="0" borderId="0" xfId="0" applyFont="1" applyFill="1" applyBorder="1" applyAlignment="1" applyProtection="1">
      <alignment horizontal="center" vertical="center"/>
    </xf>
    <xf numFmtId="0" fontId="28" fillId="0" borderId="68" xfId="0" applyFont="1" applyFill="1" applyBorder="1" applyAlignment="1" applyProtection="1">
      <alignment horizontal="center" vertical="center" shrinkToFit="1"/>
    </xf>
    <xf numFmtId="0" fontId="28" fillId="0" borderId="0" xfId="0" applyFont="1" applyFill="1" applyBorder="1" applyAlignment="1" applyProtection="1">
      <alignment vertical="center" shrinkToFit="1"/>
    </xf>
    <xf numFmtId="0" fontId="28" fillId="0" borderId="0" xfId="0" applyFont="1" applyFill="1" applyBorder="1" applyAlignment="1" applyProtection="1">
      <alignment vertical="center" wrapText="1"/>
    </xf>
    <xf numFmtId="0" fontId="28" fillId="0" borderId="0" xfId="0" applyFont="1" applyFill="1" applyBorder="1" applyProtection="1">
      <alignment vertical="center"/>
    </xf>
    <xf numFmtId="0" fontId="28" fillId="0" borderId="82" xfId="0" applyFont="1" applyFill="1" applyBorder="1" applyAlignment="1" applyProtection="1">
      <alignment horizontal="center" vertical="center" shrinkToFit="1"/>
    </xf>
    <xf numFmtId="180" fontId="28" fillId="0" borderId="0" xfId="0" applyNumberFormat="1" applyFont="1" applyFill="1" applyAlignment="1" applyProtection="1">
      <alignment vertical="center"/>
    </xf>
    <xf numFmtId="0" fontId="28" fillId="3" borderId="221" xfId="0" applyFont="1" applyFill="1" applyBorder="1" applyAlignment="1" applyProtection="1">
      <alignment horizontal="center" vertical="center" shrinkToFit="1"/>
    </xf>
    <xf numFmtId="0" fontId="28" fillId="3" borderId="293" xfId="0" applyFont="1" applyFill="1" applyBorder="1" applyAlignment="1" applyProtection="1">
      <alignment horizontal="center" vertical="center" shrinkToFit="1"/>
    </xf>
    <xf numFmtId="2" fontId="28" fillId="13" borderId="296" xfId="0" applyNumberFormat="1" applyFont="1" applyFill="1" applyBorder="1" applyAlignment="1" applyProtection="1">
      <alignment horizontal="center" vertical="center"/>
    </xf>
    <xf numFmtId="2" fontId="28" fillId="13" borderId="297" xfId="0" applyNumberFormat="1" applyFont="1" applyFill="1" applyBorder="1" applyAlignment="1" applyProtection="1">
      <alignment horizontal="center" vertical="center"/>
    </xf>
    <xf numFmtId="0" fontId="10" fillId="0" borderId="0" xfId="1" applyFont="1" applyFill="1" applyBorder="1" applyAlignment="1" applyProtection="1">
      <alignment horizontal="center" vertical="center" wrapText="1" shrinkToFit="1"/>
    </xf>
    <xf numFmtId="0" fontId="28" fillId="3" borderId="269" xfId="0" applyFont="1" applyFill="1" applyBorder="1" applyAlignment="1" applyProtection="1">
      <alignment horizontal="center" vertical="center"/>
    </xf>
    <xf numFmtId="0" fontId="10" fillId="3" borderId="302" xfId="1" applyFont="1" applyFill="1" applyBorder="1" applyAlignment="1" applyProtection="1">
      <alignment horizontal="center" vertical="center" wrapText="1" shrinkToFit="1"/>
    </xf>
    <xf numFmtId="191" fontId="10" fillId="0" borderId="0" xfId="1" applyNumberFormat="1" applyFont="1" applyFill="1" applyBorder="1" applyAlignment="1" applyProtection="1">
      <alignment horizontal="center" vertical="center" shrinkToFit="1"/>
    </xf>
    <xf numFmtId="177" fontId="10" fillId="0" borderId="0" xfId="1" applyNumberFormat="1" applyFont="1" applyFill="1" applyBorder="1" applyAlignment="1" applyProtection="1">
      <alignment horizontal="right" vertical="center" shrinkToFit="1"/>
    </xf>
    <xf numFmtId="0" fontId="10" fillId="0" borderId="0" xfId="1" applyFont="1" applyFill="1" applyBorder="1" applyAlignment="1" applyProtection="1">
      <alignment vertical="center" shrinkToFit="1"/>
    </xf>
    <xf numFmtId="204" fontId="47" fillId="0" borderId="0" xfId="4" applyNumberFormat="1" applyFont="1" applyFill="1" applyBorder="1" applyAlignment="1" applyProtection="1">
      <alignment vertical="center" shrinkToFit="1"/>
    </xf>
    <xf numFmtId="204" fontId="10" fillId="0" borderId="0" xfId="1" applyNumberFormat="1" applyFont="1" applyFill="1" applyBorder="1" applyAlignment="1" applyProtection="1">
      <alignment horizontal="right" vertical="center" shrinkToFit="1"/>
    </xf>
    <xf numFmtId="191" fontId="10" fillId="0" borderId="0" xfId="1" applyNumberFormat="1" applyFont="1" applyFill="1" applyBorder="1" applyAlignment="1" applyProtection="1">
      <alignment vertical="center" shrinkToFit="1"/>
    </xf>
    <xf numFmtId="0" fontId="28" fillId="0" borderId="310" xfId="0" applyFont="1" applyFill="1" applyBorder="1" applyAlignment="1" applyProtection="1">
      <alignment horizontal="center" vertical="center" shrinkToFit="1"/>
    </xf>
    <xf numFmtId="209" fontId="28" fillId="0" borderId="0" xfId="0" applyNumberFormat="1" applyFont="1" applyBorder="1" applyAlignment="1" applyProtection="1">
      <alignment horizontal="right" vertical="center"/>
    </xf>
    <xf numFmtId="205" fontId="28" fillId="0" borderId="0" xfId="0" applyNumberFormat="1" applyFont="1" applyBorder="1" applyAlignment="1" applyProtection="1">
      <alignment horizontal="right" vertical="center"/>
    </xf>
    <xf numFmtId="205" fontId="47" fillId="0" borderId="0" xfId="4" applyNumberFormat="1" applyFont="1" applyBorder="1" applyAlignment="1" applyProtection="1">
      <alignment horizontal="right" vertical="center" shrinkToFit="1"/>
    </xf>
    <xf numFmtId="177" fontId="10" fillId="0" borderId="0" xfId="1" applyNumberFormat="1" applyFont="1" applyFill="1" applyBorder="1" applyAlignment="1" applyProtection="1">
      <alignment wrapText="1"/>
    </xf>
    <xf numFmtId="0" fontId="28" fillId="0" borderId="0" xfId="0" applyFont="1" applyFill="1" applyBorder="1" applyAlignment="1" applyProtection="1">
      <alignment vertical="center" wrapText="1" shrinkToFit="1"/>
    </xf>
    <xf numFmtId="38" fontId="28" fillId="4" borderId="312" xfId="4" applyFont="1" applyFill="1" applyBorder="1" applyAlignment="1" applyProtection="1">
      <alignment horizontal="center" vertical="center"/>
      <protection locked="0"/>
    </xf>
    <xf numFmtId="38" fontId="28" fillId="4" borderId="315" xfId="4" applyFont="1" applyFill="1" applyBorder="1" applyAlignment="1" applyProtection="1">
      <alignment horizontal="center" vertical="center"/>
      <protection locked="0"/>
    </xf>
    <xf numFmtId="0" fontId="28" fillId="4" borderId="318" xfId="0" applyFont="1" applyFill="1" applyBorder="1" applyAlignment="1" applyProtection="1">
      <alignment horizontal="center" vertical="center"/>
      <protection locked="0"/>
    </xf>
    <xf numFmtId="0" fontId="28" fillId="0" borderId="0" xfId="0" applyFont="1" applyAlignment="1" applyProtection="1">
      <alignment vertical="center" shrinkToFit="1"/>
    </xf>
    <xf numFmtId="0" fontId="28" fillId="0" borderId="40" xfId="0" applyFont="1" applyBorder="1" applyAlignment="1" applyProtection="1">
      <alignment horizontal="center" vertical="center" shrinkToFit="1"/>
    </xf>
    <xf numFmtId="0" fontId="28" fillId="0" borderId="41" xfId="0" applyFont="1" applyBorder="1" applyAlignment="1" applyProtection="1">
      <alignment horizontal="center" vertical="center" shrinkToFit="1"/>
    </xf>
    <xf numFmtId="0" fontId="28" fillId="0" borderId="42" xfId="0" applyFont="1" applyBorder="1" applyAlignment="1" applyProtection="1">
      <alignment horizontal="center" vertical="center" shrinkToFit="1"/>
    </xf>
    <xf numFmtId="0" fontId="10" fillId="0" borderId="6" xfId="3" applyFont="1" applyBorder="1" applyAlignment="1" applyProtection="1">
      <alignment horizontal="center" vertical="center" shrinkToFit="1"/>
    </xf>
    <xf numFmtId="0" fontId="28" fillId="0" borderId="6" xfId="0" applyFont="1" applyBorder="1" applyAlignment="1" applyProtection="1">
      <alignment horizontal="center" vertical="center" shrinkToFit="1"/>
    </xf>
    <xf numFmtId="0" fontId="10" fillId="0" borderId="4" xfId="3" applyFont="1" applyBorder="1" applyAlignment="1" applyProtection="1">
      <alignment horizontal="center" vertical="center" shrinkToFit="1"/>
    </xf>
    <xf numFmtId="0" fontId="28" fillId="0" borderId="4" xfId="0" applyFont="1" applyFill="1" applyBorder="1" applyAlignment="1" applyProtection="1">
      <alignment horizontal="center" vertical="center"/>
    </xf>
    <xf numFmtId="0" fontId="54" fillId="2" borderId="0" xfId="3" applyFont="1" applyFill="1" applyBorder="1" applyAlignment="1" applyProtection="1">
      <alignment horizontal="left" vertical="center"/>
    </xf>
    <xf numFmtId="0" fontId="55" fillId="2" borderId="0" xfId="0" applyFont="1" applyFill="1" applyProtection="1">
      <alignment vertical="center"/>
    </xf>
    <xf numFmtId="0" fontId="44" fillId="0" borderId="0" xfId="0" applyFont="1" applyProtection="1">
      <alignment vertical="center"/>
    </xf>
    <xf numFmtId="0" fontId="44" fillId="0" borderId="4" xfId="0" applyFont="1" applyBorder="1" applyProtection="1">
      <alignment vertical="center"/>
    </xf>
    <xf numFmtId="0" fontId="55" fillId="2" borderId="0" xfId="0" applyFont="1" applyFill="1" applyAlignment="1" applyProtection="1">
      <alignment vertical="center"/>
    </xf>
    <xf numFmtId="0" fontId="55" fillId="2" borderId="0" xfId="0" applyFont="1" applyFill="1" applyBorder="1" applyAlignment="1" applyProtection="1">
      <alignment vertical="center"/>
    </xf>
    <xf numFmtId="0" fontId="44" fillId="0" borderId="14" xfId="0" applyFont="1" applyBorder="1" applyProtection="1">
      <alignment vertical="center"/>
    </xf>
    <xf numFmtId="0" fontId="55" fillId="2" borderId="116" xfId="0" applyFont="1" applyFill="1" applyBorder="1" applyAlignment="1" applyProtection="1">
      <alignment horizontal="center" vertical="center"/>
    </xf>
    <xf numFmtId="0" fontId="55" fillId="2" borderId="311" xfId="0" applyFont="1" applyFill="1" applyBorder="1" applyAlignment="1" applyProtection="1">
      <alignment horizontal="center" vertical="center"/>
    </xf>
    <xf numFmtId="0" fontId="55" fillId="2" borderId="115" xfId="0" applyFont="1" applyFill="1" applyBorder="1" applyAlignment="1" applyProtection="1">
      <alignment horizontal="center" vertical="center"/>
    </xf>
    <xf numFmtId="0" fontId="55" fillId="2" borderId="161" xfId="0" applyFont="1" applyFill="1" applyBorder="1" applyAlignment="1" applyProtection="1">
      <alignment horizontal="center" vertical="center"/>
    </xf>
    <xf numFmtId="0" fontId="55" fillId="2" borderId="323" xfId="0" applyFont="1" applyFill="1" applyBorder="1" applyAlignment="1" applyProtection="1">
      <alignment horizontal="right" vertical="center" shrinkToFit="1"/>
    </xf>
    <xf numFmtId="0" fontId="55" fillId="2" borderId="324" xfId="0" applyFont="1" applyFill="1" applyBorder="1" applyAlignment="1" applyProtection="1">
      <alignment horizontal="right" vertical="center" shrinkToFit="1"/>
    </xf>
    <xf numFmtId="0" fontId="55" fillId="2" borderId="325" xfId="0" applyFont="1" applyFill="1" applyBorder="1" applyAlignment="1" applyProtection="1">
      <alignment horizontal="right" vertical="center" shrinkToFit="1"/>
    </xf>
    <xf numFmtId="38" fontId="55" fillId="2" borderId="326" xfId="4" applyFont="1" applyFill="1" applyBorder="1" applyAlignment="1" applyProtection="1">
      <alignment horizontal="right" vertical="center" shrinkToFit="1"/>
    </xf>
    <xf numFmtId="0" fontId="55" fillId="4" borderId="327" xfId="0" applyFont="1" applyFill="1" applyBorder="1" applyAlignment="1" applyProtection="1">
      <alignment horizontal="right" vertical="center" shrinkToFit="1"/>
      <protection locked="0"/>
    </xf>
    <xf numFmtId="0" fontId="55" fillId="4" borderId="271" xfId="0" applyFont="1" applyFill="1" applyBorder="1" applyAlignment="1" applyProtection="1">
      <alignment horizontal="right" vertical="center" shrinkToFit="1"/>
      <protection locked="0"/>
    </xf>
    <xf numFmtId="0" fontId="55" fillId="4" borderId="328" xfId="0" applyFont="1" applyFill="1" applyBorder="1" applyAlignment="1" applyProtection="1">
      <alignment horizontal="right" vertical="center" shrinkToFit="1"/>
      <protection locked="0"/>
    </xf>
    <xf numFmtId="38" fontId="55" fillId="0" borderId="329" xfId="4" applyFont="1" applyFill="1" applyBorder="1" applyAlignment="1" applyProtection="1">
      <alignment horizontal="right" vertical="center" shrinkToFit="1"/>
    </xf>
    <xf numFmtId="0" fontId="55" fillId="0" borderId="327" xfId="0" applyFont="1" applyBorder="1" applyAlignment="1" applyProtection="1">
      <alignment horizontal="center" vertical="center" shrinkToFit="1"/>
    </xf>
    <xf numFmtId="0" fontId="55" fillId="0" borderId="271" xfId="0" applyFont="1" applyBorder="1" applyAlignment="1" applyProtection="1">
      <alignment horizontal="center" vertical="center" shrinkToFit="1"/>
    </xf>
    <xf numFmtId="0" fontId="55" fillId="0" borderId="286" xfId="0" applyFont="1" applyBorder="1" applyAlignment="1" applyProtection="1">
      <alignment horizontal="center" vertical="center" shrinkToFit="1"/>
    </xf>
    <xf numFmtId="0" fontId="55" fillId="0" borderId="330" xfId="0" applyFont="1" applyBorder="1" applyAlignment="1" applyProtection="1">
      <alignment horizontal="center" vertical="center" shrinkToFit="1"/>
    </xf>
    <xf numFmtId="211" fontId="55" fillId="0" borderId="331" xfId="0" applyNumberFormat="1" applyFont="1" applyFill="1" applyBorder="1" applyAlignment="1" applyProtection="1">
      <alignment horizontal="center" vertical="center" shrinkToFit="1"/>
    </xf>
    <xf numFmtId="0" fontId="44" fillId="2" borderId="0" xfId="0" applyFont="1" applyFill="1" applyProtection="1">
      <alignment vertical="center"/>
    </xf>
    <xf numFmtId="14" fontId="27" fillId="0" borderId="6" xfId="0" applyNumberFormat="1" applyFont="1" applyBorder="1" applyAlignment="1" applyProtection="1">
      <alignment horizontal="center" vertical="center"/>
    </xf>
    <xf numFmtId="14" fontId="27" fillId="0" borderId="0" xfId="0" applyNumberFormat="1" applyFont="1" applyBorder="1" applyAlignment="1" applyProtection="1">
      <alignment horizontal="center" vertical="center"/>
    </xf>
    <xf numFmtId="0" fontId="28" fillId="0" borderId="44" xfId="0" applyFont="1" applyFill="1" applyBorder="1" applyAlignment="1" applyProtection="1">
      <alignment horizontal="center" vertical="center" shrinkToFit="1"/>
    </xf>
    <xf numFmtId="0" fontId="10" fillId="0" borderId="14" xfId="0" applyFont="1" applyFill="1" applyBorder="1" applyAlignment="1" applyProtection="1">
      <alignment horizontal="center" vertical="center"/>
    </xf>
    <xf numFmtId="0" fontId="28" fillId="0" borderId="0" xfId="0" applyFont="1" applyBorder="1" applyAlignment="1" applyProtection="1">
      <alignment horizontal="center" vertical="center"/>
    </xf>
    <xf numFmtId="0" fontId="10" fillId="0" borderId="0" xfId="0" applyFont="1" applyFill="1" applyBorder="1" applyAlignment="1" applyProtection="1">
      <alignment horizontal="center" vertical="center" shrinkToFit="1"/>
    </xf>
    <xf numFmtId="0" fontId="10" fillId="0" borderId="70" xfId="0" applyFont="1" applyFill="1" applyBorder="1" applyAlignment="1" applyProtection="1">
      <alignment horizontal="center" vertical="center" shrinkToFit="1"/>
    </xf>
    <xf numFmtId="0" fontId="28" fillId="0" borderId="0" xfId="0" applyFont="1" applyBorder="1" applyAlignment="1" applyProtection="1">
      <alignment horizontal="left" vertical="center"/>
    </xf>
    <xf numFmtId="0" fontId="28" fillId="0" borderId="19" xfId="0" applyFont="1" applyFill="1" applyBorder="1" applyAlignment="1" applyProtection="1">
      <alignment horizontal="center" vertical="center" shrinkToFit="1"/>
    </xf>
    <xf numFmtId="0" fontId="28" fillId="0" borderId="16" xfId="0" applyFont="1" applyFill="1" applyBorder="1" applyAlignment="1" applyProtection="1">
      <alignment horizontal="center" vertical="center" shrinkToFit="1"/>
    </xf>
    <xf numFmtId="0" fontId="28" fillId="0" borderId="3" xfId="0" applyFont="1" applyFill="1" applyBorder="1" applyAlignment="1" applyProtection="1">
      <alignment horizontal="center" vertical="center" shrinkToFit="1"/>
    </xf>
    <xf numFmtId="0" fontId="28" fillId="0" borderId="107" xfId="0" applyFont="1" applyFill="1" applyBorder="1" applyAlignment="1" applyProtection="1">
      <alignment horizontal="center" vertical="center" shrinkToFit="1"/>
    </xf>
    <xf numFmtId="0" fontId="28" fillId="0" borderId="52" xfId="0" applyFont="1" applyFill="1" applyBorder="1" applyAlignment="1" applyProtection="1">
      <alignment horizontal="center" vertical="center" shrinkToFit="1"/>
    </xf>
    <xf numFmtId="0" fontId="51" fillId="0" borderId="0" xfId="0" applyFont="1" applyFill="1" applyAlignment="1" applyProtection="1">
      <alignment horizontal="center" vertical="center"/>
    </xf>
    <xf numFmtId="0" fontId="28" fillId="0" borderId="46" xfId="0" applyFont="1" applyFill="1" applyBorder="1" applyAlignment="1" applyProtection="1">
      <alignment horizontal="center" vertical="center" shrinkToFit="1"/>
    </xf>
    <xf numFmtId="0" fontId="28" fillId="0" borderId="0" xfId="0" applyFont="1" applyBorder="1" applyAlignment="1" applyProtection="1">
      <alignment horizontal="center" vertical="center" shrinkToFit="1"/>
    </xf>
    <xf numFmtId="49" fontId="28" fillId="0" borderId="4" xfId="10" applyNumberFormat="1" applyFont="1" applyFill="1" applyBorder="1" applyAlignment="1" applyProtection="1">
      <alignment horizontal="center" vertical="center" shrinkToFit="1"/>
    </xf>
    <xf numFmtId="49" fontId="29" fillId="0" borderId="4" xfId="10" applyNumberFormat="1" applyFont="1" applyFill="1" applyBorder="1" applyAlignment="1" applyProtection="1">
      <alignment vertical="center" shrinkToFit="1"/>
    </xf>
    <xf numFmtId="49" fontId="28" fillId="0" borderId="4" xfId="10" applyNumberFormat="1" applyFont="1" applyFill="1" applyBorder="1" applyAlignment="1" applyProtection="1">
      <alignment vertical="center" shrinkToFit="1"/>
    </xf>
    <xf numFmtId="49" fontId="30" fillId="0" borderId="4" xfId="10" applyNumberFormat="1" applyFont="1" applyFill="1" applyBorder="1" applyAlignment="1" applyProtection="1">
      <alignment vertical="center" shrinkToFit="1"/>
    </xf>
    <xf numFmtId="0" fontId="28" fillId="0" borderId="0" xfId="10" applyNumberFormat="1" applyFont="1" applyFill="1" applyBorder="1" applyProtection="1">
      <alignment vertical="center"/>
    </xf>
    <xf numFmtId="0" fontId="28" fillId="0" borderId="338" xfId="0" applyFont="1" applyFill="1" applyBorder="1" applyAlignment="1" applyProtection="1">
      <alignment horizontal="center" vertical="center" shrinkToFit="1"/>
    </xf>
    <xf numFmtId="0" fontId="28" fillId="0" borderId="42" xfId="0" applyFont="1" applyFill="1" applyBorder="1" applyAlignment="1" applyProtection="1">
      <alignment vertical="center"/>
    </xf>
    <xf numFmtId="0" fontId="28" fillId="0" borderId="339" xfId="0" applyFont="1" applyFill="1" applyBorder="1" applyAlignment="1" applyProtection="1">
      <alignment horizontal="center" vertical="center" shrinkToFit="1"/>
    </xf>
    <xf numFmtId="38" fontId="28" fillId="0" borderId="13" xfId="4" applyFont="1" applyFill="1" applyBorder="1" applyAlignment="1" applyProtection="1">
      <alignment vertical="center"/>
    </xf>
    <xf numFmtId="38" fontId="28" fillId="0" borderId="14" xfId="4" applyFont="1" applyFill="1" applyBorder="1" applyAlignment="1" applyProtection="1">
      <alignment vertical="center"/>
    </xf>
    <xf numFmtId="0" fontId="47" fillId="0" borderId="5" xfId="0" applyFont="1" applyFill="1" applyBorder="1" applyAlignment="1" applyProtection="1">
      <alignment horizontal="center" vertical="center" shrinkToFit="1"/>
    </xf>
    <xf numFmtId="0" fontId="28" fillId="0" borderId="26" xfId="0" applyFont="1" applyFill="1" applyBorder="1" applyAlignment="1" applyProtection="1">
      <alignment horizontal="center" vertical="center" shrinkToFit="1"/>
    </xf>
    <xf numFmtId="0" fontId="28" fillId="0" borderId="20" xfId="0" applyFont="1" applyFill="1" applyBorder="1" applyAlignment="1" applyProtection="1">
      <alignment horizontal="center" vertical="center" shrinkToFit="1"/>
    </xf>
    <xf numFmtId="38" fontId="28" fillId="0" borderId="18" xfId="0" applyNumberFormat="1" applyFont="1" applyFill="1" applyBorder="1" applyAlignment="1" applyProtection="1">
      <alignment horizontal="center" vertical="center" shrinkToFit="1"/>
    </xf>
    <xf numFmtId="0" fontId="28" fillId="0" borderId="32" xfId="0" applyFont="1" applyFill="1" applyBorder="1" applyAlignment="1" applyProtection="1">
      <alignment horizontal="center" vertical="center" shrinkToFit="1"/>
    </xf>
    <xf numFmtId="0" fontId="28" fillId="0" borderId="30" xfId="0" applyFont="1" applyFill="1" applyBorder="1" applyAlignment="1" applyProtection="1">
      <alignment horizontal="center" vertical="center"/>
    </xf>
    <xf numFmtId="0" fontId="28" fillId="0" borderId="239" xfId="0" applyFont="1" applyFill="1" applyBorder="1" applyAlignment="1" applyProtection="1">
      <alignment horizontal="center" vertical="center" shrinkToFit="1"/>
    </xf>
    <xf numFmtId="0" fontId="28" fillId="0" borderId="17" xfId="0" applyFont="1" applyFill="1" applyBorder="1" applyAlignment="1" applyProtection="1">
      <alignment horizontal="center" vertical="center" shrinkToFit="1"/>
    </xf>
    <xf numFmtId="0" fontId="28" fillId="0" borderId="14" xfId="0" applyFont="1" applyFill="1" applyBorder="1" applyAlignment="1" applyProtection="1">
      <alignment horizontal="center" vertical="center" shrinkToFit="1"/>
    </xf>
    <xf numFmtId="0" fontId="28" fillId="0" borderId="4" xfId="0" applyFont="1" applyFill="1" applyBorder="1" applyAlignment="1" applyProtection="1">
      <alignment vertical="center" shrinkToFit="1"/>
    </xf>
    <xf numFmtId="0" fontId="28" fillId="0" borderId="17" xfId="0" applyFont="1" applyFill="1" applyBorder="1" applyAlignment="1" applyProtection="1">
      <alignment vertical="center" shrinkToFit="1"/>
    </xf>
    <xf numFmtId="0" fontId="28" fillId="0" borderId="68" xfId="0" applyFont="1" applyFill="1" applyBorder="1" applyAlignment="1" applyProtection="1">
      <alignment vertical="center" shrinkToFit="1"/>
    </xf>
    <xf numFmtId="0" fontId="29" fillId="0" borderId="11" xfId="0" applyFont="1" applyFill="1" applyBorder="1" applyProtection="1">
      <alignment vertical="center"/>
    </xf>
    <xf numFmtId="0" fontId="28" fillId="0" borderId="35" xfId="0" applyFont="1" applyFill="1" applyBorder="1" applyAlignment="1" applyProtection="1">
      <alignment horizontal="center" vertical="center"/>
    </xf>
    <xf numFmtId="0" fontId="28" fillId="0" borderId="35" xfId="0" applyFont="1" applyFill="1" applyBorder="1" applyAlignment="1" applyProtection="1">
      <alignment vertical="center"/>
    </xf>
    <xf numFmtId="0" fontId="28" fillId="0" borderId="6" xfId="0" applyFont="1" applyFill="1" applyBorder="1" applyAlignment="1" applyProtection="1">
      <alignment vertical="center" shrinkToFit="1"/>
    </xf>
    <xf numFmtId="0" fontId="29" fillId="0" borderId="37" xfId="0" applyFont="1" applyFill="1" applyBorder="1" applyAlignment="1" applyProtection="1">
      <alignment vertical="center"/>
    </xf>
    <xf numFmtId="0" fontId="28" fillId="0" borderId="38" xfId="0" applyFont="1" applyFill="1" applyBorder="1" applyAlignment="1" applyProtection="1">
      <alignment vertical="center"/>
    </xf>
    <xf numFmtId="0" fontId="28" fillId="0" borderId="38" xfId="0" applyFont="1" applyFill="1" applyBorder="1" applyProtection="1">
      <alignment vertical="center"/>
    </xf>
    <xf numFmtId="0" fontId="28" fillId="0" borderId="39" xfId="0" applyFont="1" applyFill="1" applyBorder="1" applyProtection="1">
      <alignment vertical="center"/>
    </xf>
    <xf numFmtId="0" fontId="29" fillId="0" borderId="96" xfId="0" applyFont="1" applyFill="1" applyBorder="1" applyAlignment="1" applyProtection="1">
      <alignment vertical="center" shrinkToFit="1"/>
    </xf>
    <xf numFmtId="0" fontId="13" fillId="0" borderId="46" xfId="0" applyFont="1" applyFill="1" applyBorder="1" applyAlignment="1" applyProtection="1">
      <alignment horizontal="center" vertical="center"/>
    </xf>
    <xf numFmtId="0" fontId="29" fillId="0" borderId="263" xfId="0" applyFont="1" applyFill="1" applyBorder="1" applyAlignment="1" applyProtection="1">
      <alignment horizontal="center" vertical="center" shrinkToFit="1"/>
    </xf>
    <xf numFmtId="0" fontId="10" fillId="0" borderId="44" xfId="0" applyFont="1" applyFill="1" applyBorder="1" applyAlignment="1" applyProtection="1">
      <alignment horizontal="center" vertical="center"/>
    </xf>
    <xf numFmtId="0" fontId="10" fillId="0" borderId="3" xfId="0" applyFont="1" applyFill="1" applyBorder="1" applyAlignment="1" applyProtection="1">
      <alignment horizontal="center" vertical="center"/>
    </xf>
    <xf numFmtId="0" fontId="10" fillId="0" borderId="45" xfId="0" applyFont="1" applyFill="1" applyBorder="1" applyAlignment="1" applyProtection="1">
      <alignment horizontal="center" vertical="center"/>
    </xf>
    <xf numFmtId="0" fontId="10" fillId="0" borderId="44" xfId="0" applyFont="1" applyFill="1" applyBorder="1" applyAlignment="1" applyProtection="1">
      <alignment horizontal="center" vertical="center" shrinkToFit="1"/>
    </xf>
    <xf numFmtId="0" fontId="10" fillId="0" borderId="70" xfId="0" applyFont="1" applyFill="1" applyBorder="1" applyAlignment="1" applyProtection="1">
      <alignment horizontal="center" vertical="center"/>
    </xf>
    <xf numFmtId="0" fontId="10" fillId="0" borderId="68" xfId="0" applyFont="1" applyFill="1" applyBorder="1" applyAlignment="1" applyProtection="1">
      <alignment horizontal="center" vertical="center"/>
    </xf>
    <xf numFmtId="0" fontId="10" fillId="0" borderId="70" xfId="0" applyNumberFormat="1" applyFont="1" applyFill="1" applyBorder="1" applyAlignment="1" applyProtection="1">
      <alignment horizontal="center" vertical="center" shrinkToFit="1"/>
    </xf>
    <xf numFmtId="0" fontId="10" fillId="0" borderId="14" xfId="0" applyFont="1" applyFill="1" applyBorder="1" applyAlignment="1" applyProtection="1">
      <alignment vertical="center"/>
    </xf>
    <xf numFmtId="0" fontId="10" fillId="0" borderId="5" xfId="0" applyFont="1" applyFill="1" applyBorder="1" applyAlignment="1" applyProtection="1">
      <alignment vertical="center"/>
    </xf>
    <xf numFmtId="0" fontId="10" fillId="0" borderId="54" xfId="0" applyFont="1" applyFill="1" applyBorder="1" applyAlignment="1" applyProtection="1">
      <alignment vertical="center"/>
    </xf>
    <xf numFmtId="0" fontId="10" fillId="0" borderId="69" xfId="0" applyFont="1" applyFill="1" applyBorder="1" applyAlignment="1" applyProtection="1">
      <alignment vertical="center"/>
    </xf>
    <xf numFmtId="0" fontId="47" fillId="0" borderId="46" xfId="0" applyFont="1" applyFill="1" applyBorder="1" applyAlignment="1" applyProtection="1">
      <alignment horizontal="center" vertical="center"/>
    </xf>
    <xf numFmtId="0" fontId="47" fillId="0" borderId="19" xfId="0" applyFont="1" applyFill="1" applyBorder="1" applyAlignment="1" applyProtection="1">
      <alignment horizontal="center" vertical="center" shrinkToFit="1"/>
    </xf>
    <xf numFmtId="0" fontId="28" fillId="0" borderId="161" xfId="0" applyFont="1" applyFill="1" applyBorder="1" applyAlignment="1" applyProtection="1">
      <alignment horizontal="center" vertical="center" shrinkToFit="1"/>
    </xf>
    <xf numFmtId="0" fontId="47" fillId="0" borderId="19" xfId="0" applyFont="1" applyFill="1" applyBorder="1" applyAlignment="1" applyProtection="1">
      <alignment horizontal="center" vertical="center"/>
    </xf>
    <xf numFmtId="0" fontId="29" fillId="0" borderId="381" xfId="0" applyFont="1" applyFill="1" applyBorder="1" applyAlignment="1" applyProtection="1">
      <alignment horizontal="center" vertical="center" shrinkToFit="1"/>
    </xf>
    <xf numFmtId="0" fontId="29" fillId="0" borderId="382" xfId="0" applyFont="1" applyFill="1" applyBorder="1" applyAlignment="1" applyProtection="1">
      <alignment horizontal="center" vertical="center" shrinkToFit="1"/>
    </xf>
    <xf numFmtId="0" fontId="28" fillId="0" borderId="13" xfId="0" applyFont="1" applyFill="1" applyBorder="1" applyAlignment="1" applyProtection="1">
      <alignment horizontal="center" vertical="center" shrinkToFit="1"/>
    </xf>
    <xf numFmtId="0" fontId="28" fillId="0" borderId="45" xfId="0" applyFont="1" applyFill="1" applyBorder="1" applyAlignment="1" applyProtection="1">
      <alignment horizontal="center" vertical="center" shrinkToFit="1"/>
    </xf>
    <xf numFmtId="0" fontId="29" fillId="0" borderId="265" xfId="0" applyFont="1" applyFill="1" applyBorder="1" applyAlignment="1" applyProtection="1">
      <alignment horizontal="center" vertical="center" shrinkToFit="1"/>
    </xf>
    <xf numFmtId="2" fontId="29" fillId="0" borderId="265" xfId="0" applyNumberFormat="1" applyFont="1" applyFill="1" applyBorder="1" applyAlignment="1" applyProtection="1">
      <alignment horizontal="center" vertical="center" shrinkToFit="1"/>
    </xf>
    <xf numFmtId="38" fontId="29" fillId="0" borderId="265" xfId="0" applyNumberFormat="1" applyFont="1" applyFill="1" applyBorder="1" applyAlignment="1" applyProtection="1">
      <alignment horizontal="center" vertical="center" shrinkToFit="1"/>
    </xf>
    <xf numFmtId="38" fontId="28" fillId="0" borderId="14" xfId="0" applyNumberFormat="1" applyFont="1" applyFill="1" applyBorder="1" applyAlignment="1" applyProtection="1">
      <alignment horizontal="center" vertical="center" shrinkToFit="1"/>
    </xf>
    <xf numFmtId="38" fontId="28" fillId="0" borderId="17" xfId="0" applyNumberFormat="1" applyFont="1" applyFill="1" applyBorder="1" applyAlignment="1" applyProtection="1">
      <alignment horizontal="center" vertical="center" shrinkToFit="1"/>
    </xf>
    <xf numFmtId="0" fontId="29" fillId="0" borderId="386" xfId="0" applyFont="1" applyFill="1" applyBorder="1" applyAlignment="1" applyProtection="1">
      <alignment horizontal="center" vertical="center" shrinkToFit="1"/>
    </xf>
    <xf numFmtId="0" fontId="29" fillId="0" borderId="384" xfId="0" applyFont="1" applyFill="1" applyBorder="1" applyAlignment="1" applyProtection="1">
      <alignment horizontal="center" vertical="center" shrinkToFit="1"/>
    </xf>
    <xf numFmtId="0" fontId="29" fillId="0" borderId="387" xfId="0" applyFont="1" applyFill="1" applyBorder="1" applyAlignment="1" applyProtection="1">
      <alignment horizontal="center" vertical="center" shrinkToFit="1"/>
    </xf>
    <xf numFmtId="0" fontId="28" fillId="0" borderId="83" xfId="0" applyFont="1" applyFill="1" applyBorder="1" applyAlignment="1" applyProtection="1">
      <alignment horizontal="center" vertical="center" shrinkToFit="1"/>
    </xf>
    <xf numFmtId="0" fontId="28" fillId="0" borderId="84" xfId="0" applyFont="1" applyFill="1" applyBorder="1" applyAlignment="1" applyProtection="1">
      <alignment horizontal="center" vertical="center" shrinkToFit="1"/>
    </xf>
    <xf numFmtId="0" fontId="28" fillId="0" borderId="388" xfId="0" applyFont="1" applyFill="1" applyBorder="1" applyAlignment="1" applyProtection="1">
      <alignment horizontal="center" vertical="center" shrinkToFit="1"/>
    </xf>
    <xf numFmtId="0" fontId="28" fillId="0" borderId="387" xfId="0" applyFont="1" applyFill="1" applyBorder="1" applyAlignment="1" applyProtection="1">
      <alignment horizontal="center" vertical="center" shrinkToFit="1"/>
    </xf>
    <xf numFmtId="2" fontId="28" fillId="0" borderId="20" xfId="0" applyNumberFormat="1" applyFont="1" applyFill="1" applyBorder="1" applyAlignment="1" applyProtection="1">
      <alignment horizontal="center" vertical="center" shrinkToFit="1"/>
    </xf>
    <xf numFmtId="2" fontId="29" fillId="0" borderId="339" xfId="0" applyNumberFormat="1" applyFont="1" applyFill="1" applyBorder="1" applyAlignment="1" applyProtection="1">
      <alignment horizontal="center" vertical="center" shrinkToFit="1"/>
    </xf>
    <xf numFmtId="2" fontId="28" fillId="0" borderId="17" xfId="0" applyNumberFormat="1" applyFont="1" applyFill="1" applyBorder="1" applyAlignment="1" applyProtection="1">
      <alignment horizontal="center" vertical="center" shrinkToFit="1"/>
    </xf>
    <xf numFmtId="0" fontId="28" fillId="0" borderId="2" xfId="0" applyFont="1" applyFill="1" applyBorder="1" applyAlignment="1" applyProtection="1">
      <alignment horizontal="center" vertical="center" shrinkToFit="1"/>
    </xf>
    <xf numFmtId="0" fontId="28" fillId="0" borderId="46" xfId="0" applyFont="1" applyBorder="1" applyAlignment="1" applyProtection="1">
      <alignment vertical="center" shrinkToFit="1"/>
    </xf>
    <xf numFmtId="0" fontId="28" fillId="0" borderId="31" xfId="0" applyFont="1" applyBorder="1" applyAlignment="1" applyProtection="1">
      <alignment vertical="center"/>
    </xf>
    <xf numFmtId="0" fontId="29" fillId="0" borderId="22" xfId="0" applyFont="1" applyBorder="1" applyAlignment="1" applyProtection="1">
      <alignment horizontal="right" vertical="center" shrinkToFit="1"/>
    </xf>
    <xf numFmtId="0" fontId="52" fillId="0" borderId="0" xfId="0" applyFont="1" applyBorder="1" applyProtection="1">
      <alignment vertical="center"/>
    </xf>
    <xf numFmtId="212" fontId="10" fillId="2" borderId="4" xfId="1" applyNumberFormat="1" applyFont="1" applyFill="1" applyBorder="1" applyAlignment="1" applyProtection="1">
      <alignment horizontal="right" vertical="center" shrinkToFit="1"/>
    </xf>
    <xf numFmtId="0" fontId="28" fillId="0" borderId="339" xfId="0" applyFont="1" applyBorder="1" applyAlignment="1" applyProtection="1">
      <alignment vertical="center" shrinkToFit="1"/>
    </xf>
    <xf numFmtId="0" fontId="28" fillId="0" borderId="265" xfId="0" applyFont="1" applyBorder="1" applyProtection="1">
      <alignment vertical="center"/>
    </xf>
    <xf numFmtId="0" fontId="28" fillId="0" borderId="310" xfId="0" applyFont="1" applyBorder="1" applyProtection="1">
      <alignment vertical="center"/>
    </xf>
    <xf numFmtId="0" fontId="28" fillId="0" borderId="70" xfId="0" applyFont="1" applyBorder="1" applyAlignment="1" applyProtection="1">
      <alignment vertical="center"/>
    </xf>
    <xf numFmtId="0" fontId="10" fillId="0" borderId="0" xfId="3" applyFont="1" applyBorder="1" applyAlignment="1" applyProtection="1">
      <alignment horizontal="left" vertical="center"/>
    </xf>
    <xf numFmtId="0" fontId="10" fillId="0" borderId="4" xfId="0" applyFont="1" applyFill="1" applyBorder="1" applyAlignment="1" applyProtection="1">
      <alignment horizontal="center" vertical="center"/>
    </xf>
    <xf numFmtId="0" fontId="28" fillId="0" borderId="14" xfId="0" applyFont="1" applyBorder="1" applyAlignment="1" applyProtection="1">
      <alignment horizontal="center" vertical="center" shrinkToFit="1"/>
    </xf>
    <xf numFmtId="0" fontId="28" fillId="0" borderId="71" xfId="0" applyFont="1" applyBorder="1" applyAlignment="1" applyProtection="1">
      <alignment horizontal="center" vertical="center" shrinkToFit="1"/>
    </xf>
    <xf numFmtId="0" fontId="28" fillId="0" borderId="54" xfId="0" applyFont="1" applyBorder="1" applyAlignment="1" applyProtection="1">
      <alignment horizontal="center" vertical="center" shrinkToFit="1"/>
    </xf>
    <xf numFmtId="192" fontId="28" fillId="0" borderId="71" xfId="0" applyNumberFormat="1" applyFont="1" applyBorder="1" applyAlignment="1" applyProtection="1">
      <alignment horizontal="right" vertical="center" shrinkToFit="1"/>
    </xf>
    <xf numFmtId="192" fontId="28" fillId="0" borderId="14" xfId="0" applyNumberFormat="1" applyFont="1" applyBorder="1" applyAlignment="1" applyProtection="1">
      <alignment horizontal="right" vertical="center" shrinkToFit="1"/>
    </xf>
    <xf numFmtId="192" fontId="28" fillId="0" borderId="54" xfId="0" applyNumberFormat="1" applyFont="1" applyBorder="1" applyAlignment="1" applyProtection="1">
      <alignment horizontal="right" vertical="center" shrinkToFit="1"/>
    </xf>
    <xf numFmtId="192" fontId="28" fillId="0" borderId="91" xfId="0" applyNumberFormat="1" applyFont="1" applyBorder="1" applyAlignment="1" applyProtection="1">
      <alignment horizontal="right" vertical="center" shrinkToFit="1"/>
    </xf>
    <xf numFmtId="192" fontId="28" fillId="0" borderId="62" xfId="0" applyNumberFormat="1" applyFont="1" applyBorder="1" applyAlignment="1" applyProtection="1">
      <alignment horizontal="right" vertical="center" shrinkToFit="1"/>
    </xf>
    <xf numFmtId="192" fontId="28" fillId="0" borderId="92" xfId="0" applyNumberFormat="1" applyFont="1" applyBorder="1" applyAlignment="1" applyProtection="1">
      <alignment horizontal="right" vertical="center" shrinkToFit="1"/>
    </xf>
    <xf numFmtId="0" fontId="62" fillId="0" borderId="46" xfId="0" applyFont="1" applyFill="1" applyBorder="1" applyAlignment="1" applyProtection="1">
      <alignment vertical="center" wrapText="1"/>
    </xf>
    <xf numFmtId="0" fontId="62" fillId="0" borderId="6" xfId="0" applyFont="1" applyFill="1" applyBorder="1" applyAlignment="1" applyProtection="1">
      <alignment vertical="center" wrapText="1"/>
    </xf>
    <xf numFmtId="0" fontId="28" fillId="3" borderId="30" xfId="0" applyFont="1" applyFill="1" applyBorder="1" applyAlignment="1" applyProtection="1">
      <alignment vertical="center"/>
    </xf>
    <xf numFmtId="0" fontId="47" fillId="2" borderId="0" xfId="0" applyFont="1" applyFill="1" applyAlignment="1" applyProtection="1">
      <alignment vertical="center"/>
    </xf>
    <xf numFmtId="0" fontId="28" fillId="2" borderId="0" xfId="0" applyFont="1" applyFill="1" applyAlignment="1" applyProtection="1">
      <alignment vertical="center"/>
    </xf>
    <xf numFmtId="0" fontId="51" fillId="2" borderId="0" xfId="0" applyFont="1" applyFill="1" applyAlignment="1" applyProtection="1">
      <alignment vertical="center"/>
    </xf>
    <xf numFmtId="0" fontId="47" fillId="2" borderId="0" xfId="0" applyFont="1" applyFill="1" applyAlignment="1" applyProtection="1">
      <alignment horizontal="right" vertical="center"/>
    </xf>
    <xf numFmtId="0" fontId="47" fillId="2" borderId="0" xfId="0" applyFont="1" applyFill="1" applyAlignment="1" applyProtection="1">
      <alignment horizontal="center" vertical="center"/>
    </xf>
    <xf numFmtId="0" fontId="10" fillId="2" borderId="0" xfId="0" applyFont="1" applyFill="1" applyBorder="1" applyAlignment="1" applyProtection="1">
      <alignment vertical="center" shrinkToFit="1"/>
    </xf>
    <xf numFmtId="0" fontId="47" fillId="2" borderId="0" xfId="0" applyFont="1" applyFill="1" applyAlignment="1" applyProtection="1">
      <alignment horizontal="left" vertical="center"/>
    </xf>
    <xf numFmtId="0" fontId="28" fillId="2" borderId="0" xfId="0" applyFont="1" applyFill="1" applyBorder="1" applyAlignment="1" applyProtection="1">
      <alignment vertical="center"/>
    </xf>
    <xf numFmtId="0" fontId="28" fillId="2" borderId="0" xfId="0" applyFont="1" applyFill="1" applyProtection="1">
      <alignment vertical="center"/>
    </xf>
    <xf numFmtId="212" fontId="28" fillId="2" borderId="247" xfId="0" applyNumberFormat="1" applyFont="1" applyFill="1" applyBorder="1" applyAlignment="1" applyProtection="1">
      <alignment vertical="center" shrinkToFit="1"/>
    </xf>
    <xf numFmtId="212" fontId="28" fillId="2" borderId="180" xfId="0" applyNumberFormat="1" applyFont="1" applyFill="1" applyBorder="1" applyAlignment="1" applyProtection="1">
      <alignment vertical="center" shrinkToFit="1"/>
    </xf>
    <xf numFmtId="212" fontId="28" fillId="2" borderId="174" xfId="0" applyNumberFormat="1" applyFont="1" applyFill="1" applyBorder="1" applyAlignment="1" applyProtection="1">
      <alignment vertical="center" shrinkToFit="1"/>
    </xf>
    <xf numFmtId="212" fontId="28" fillId="2" borderId="169" xfId="0" applyNumberFormat="1" applyFont="1" applyFill="1" applyBorder="1" applyAlignment="1" applyProtection="1">
      <alignment horizontal="right" vertical="center" shrinkToFit="1"/>
    </xf>
    <xf numFmtId="212" fontId="28" fillId="2" borderId="171" xfId="0" applyNumberFormat="1" applyFont="1" applyFill="1" applyBorder="1" applyAlignment="1" applyProtection="1">
      <alignment horizontal="right" vertical="center"/>
    </xf>
    <xf numFmtId="212" fontId="28" fillId="2" borderId="6" xfId="0" applyNumberFormat="1" applyFont="1" applyFill="1" applyBorder="1" applyAlignment="1" applyProtection="1">
      <alignment vertical="center" shrinkToFit="1"/>
    </xf>
    <xf numFmtId="212" fontId="28" fillId="2" borderId="16" xfId="0" applyNumberFormat="1" applyFont="1" applyFill="1" applyBorder="1" applyAlignment="1" applyProtection="1">
      <alignment vertical="center" shrinkToFit="1"/>
    </xf>
    <xf numFmtId="0" fontId="28" fillId="2" borderId="0" xfId="0" applyFont="1" applyFill="1" applyBorder="1" applyAlignment="1" applyProtection="1">
      <alignment vertical="center" shrinkToFit="1"/>
    </xf>
    <xf numFmtId="176" fontId="10" fillId="2" borderId="251" xfId="1" applyNumberFormat="1" applyFont="1" applyFill="1" applyBorder="1" applyAlignment="1" applyProtection="1">
      <alignment horizontal="center" vertical="center" shrinkToFit="1"/>
    </xf>
    <xf numFmtId="176" fontId="10" fillId="2" borderId="171" xfId="1" applyNumberFormat="1" applyFont="1" applyFill="1" applyBorder="1" applyAlignment="1" applyProtection="1">
      <alignment horizontal="center" vertical="center" shrinkToFit="1"/>
    </xf>
    <xf numFmtId="176" fontId="10" fillId="2" borderId="169" xfId="1" applyNumberFormat="1" applyFont="1" applyFill="1" applyBorder="1" applyAlignment="1" applyProtection="1">
      <alignment horizontal="center" vertical="center" shrinkToFit="1"/>
    </xf>
    <xf numFmtId="0" fontId="28" fillId="2" borderId="5" xfId="0" applyFont="1" applyFill="1" applyBorder="1" applyAlignment="1" applyProtection="1">
      <alignment horizontal="center" vertical="center"/>
    </xf>
    <xf numFmtId="0" fontId="28" fillId="2" borderId="5" xfId="0" applyFont="1" applyFill="1" applyBorder="1" applyAlignment="1" applyProtection="1">
      <alignment horizontal="center" vertical="center" shrinkToFit="1"/>
    </xf>
    <xf numFmtId="212" fontId="28" fillId="2" borderId="251" xfId="0" applyNumberFormat="1" applyFont="1" applyFill="1" applyBorder="1" applyAlignment="1" applyProtection="1">
      <alignment horizontal="right" vertical="center" shrinkToFit="1"/>
    </xf>
    <xf numFmtId="176" fontId="10" fillId="2" borderId="170" xfId="1" applyNumberFormat="1" applyFont="1" applyFill="1" applyBorder="1" applyAlignment="1" applyProtection="1">
      <alignment horizontal="center" vertical="center" shrinkToFit="1"/>
    </xf>
    <xf numFmtId="2" fontId="28" fillId="2" borderId="350" xfId="0" applyNumberFormat="1" applyFont="1" applyFill="1" applyBorder="1" applyAlignment="1" applyProtection="1">
      <alignment horizontal="center" vertical="center" shrinkToFit="1"/>
    </xf>
    <xf numFmtId="0" fontId="28" fillId="2" borderId="66" xfId="0" applyFont="1" applyFill="1" applyBorder="1" applyAlignment="1" applyProtection="1">
      <alignment horizontal="center" vertical="center" shrinkToFit="1"/>
    </xf>
    <xf numFmtId="0" fontId="28" fillId="2" borderId="363" xfId="0" applyFont="1" applyFill="1" applyBorder="1" applyAlignment="1" applyProtection="1">
      <alignment horizontal="center" vertical="center" shrinkToFit="1"/>
    </xf>
    <xf numFmtId="0" fontId="28" fillId="2" borderId="341" xfId="0" applyFont="1" applyFill="1" applyBorder="1" applyAlignment="1" applyProtection="1">
      <alignment horizontal="center" vertical="center" shrinkToFit="1"/>
    </xf>
    <xf numFmtId="2" fontId="28" fillId="2" borderId="67" xfId="0" applyNumberFormat="1" applyFont="1" applyFill="1" applyBorder="1" applyAlignment="1" applyProtection="1">
      <alignment horizontal="center" vertical="center" shrinkToFit="1"/>
    </xf>
    <xf numFmtId="2" fontId="28" fillId="2" borderId="364" xfId="0" applyNumberFormat="1" applyFont="1" applyFill="1" applyBorder="1" applyAlignment="1" applyProtection="1">
      <alignment horizontal="center" vertical="center" shrinkToFit="1"/>
    </xf>
    <xf numFmtId="2" fontId="28" fillId="2" borderId="90" xfId="0" applyNumberFormat="1" applyFont="1" applyFill="1" applyBorder="1" applyAlignment="1" applyProtection="1">
      <alignment horizontal="center" vertical="center" shrinkToFit="1"/>
    </xf>
    <xf numFmtId="0" fontId="28" fillId="2" borderId="346" xfId="0" applyFont="1" applyFill="1" applyBorder="1" applyAlignment="1" applyProtection="1">
      <alignment horizontal="center" vertical="center" shrinkToFit="1"/>
    </xf>
    <xf numFmtId="0" fontId="28" fillId="2" borderId="391" xfId="0" applyFont="1" applyFill="1" applyBorder="1" applyAlignment="1" applyProtection="1">
      <alignment horizontal="center" vertical="center" shrinkToFit="1"/>
    </xf>
    <xf numFmtId="0" fontId="28" fillId="2" borderId="393" xfId="0" applyFont="1" applyFill="1" applyBorder="1" applyAlignment="1" applyProtection="1">
      <alignment horizontal="center" vertical="center" shrinkToFit="1"/>
    </xf>
    <xf numFmtId="0" fontId="28" fillId="2" borderId="159" xfId="0" applyFont="1" applyFill="1" applyBorder="1" applyAlignment="1" applyProtection="1">
      <alignment horizontal="center" vertical="center" shrinkToFit="1"/>
    </xf>
    <xf numFmtId="0" fontId="45" fillId="2" borderId="20" xfId="0" applyFont="1" applyFill="1" applyBorder="1" applyAlignment="1" applyProtection="1">
      <alignment vertical="center" shrinkToFit="1"/>
    </xf>
    <xf numFmtId="2" fontId="28" fillId="2" borderId="180" xfId="0" applyNumberFormat="1" applyFont="1" applyFill="1" applyBorder="1" applyAlignment="1" applyProtection="1">
      <alignment horizontal="center" vertical="center" shrinkToFit="1"/>
    </xf>
    <xf numFmtId="0" fontId="28" fillId="2" borderId="0" xfId="0" applyFont="1" applyFill="1" applyBorder="1" applyAlignment="1" applyProtection="1">
      <alignment horizontal="left" vertical="center"/>
    </xf>
    <xf numFmtId="0" fontId="28" fillId="2" borderId="0" xfId="0" applyFont="1" applyFill="1" applyAlignment="1" applyProtection="1">
      <alignment horizontal="center" vertical="center"/>
    </xf>
    <xf numFmtId="0" fontId="45" fillId="2" borderId="0" xfId="0" applyFont="1" applyFill="1" applyBorder="1" applyAlignment="1" applyProtection="1">
      <alignment vertical="center" wrapText="1"/>
    </xf>
    <xf numFmtId="2" fontId="28" fillId="2" borderId="0" xfId="0" applyNumberFormat="1" applyFont="1" applyFill="1" applyBorder="1" applyAlignment="1" applyProtection="1">
      <alignment horizontal="center" vertical="center"/>
    </xf>
    <xf numFmtId="2" fontId="28" fillId="2" borderId="0" xfId="0" applyNumberFormat="1" applyFont="1" applyFill="1" applyBorder="1" applyAlignment="1" applyProtection="1">
      <alignment horizontal="left" vertical="center"/>
    </xf>
    <xf numFmtId="207" fontId="47" fillId="2" borderId="298" xfId="0" applyNumberFormat="1" applyFont="1" applyFill="1" applyBorder="1" applyAlignment="1" applyProtection="1">
      <alignment horizontal="right" vertical="center"/>
    </xf>
    <xf numFmtId="207" fontId="47" fillId="2" borderId="301" xfId="0" applyNumberFormat="1" applyFont="1" applyFill="1" applyBorder="1" applyAlignment="1" applyProtection="1">
      <alignment horizontal="right" vertical="center"/>
    </xf>
    <xf numFmtId="208" fontId="47" fillId="2" borderId="134" xfId="0" applyNumberFormat="1" applyFont="1" applyFill="1" applyBorder="1" applyAlignment="1" applyProtection="1">
      <alignment horizontal="right" vertical="center"/>
    </xf>
    <xf numFmtId="207" fontId="47" fillId="2" borderId="143" xfId="0" applyNumberFormat="1" applyFont="1" applyFill="1" applyBorder="1" applyAlignment="1" applyProtection="1">
      <alignment horizontal="right" vertical="center"/>
    </xf>
    <xf numFmtId="0" fontId="28" fillId="2" borderId="0" xfId="0" applyFont="1" applyFill="1" applyBorder="1" applyAlignment="1" applyProtection="1">
      <alignment horizontal="right" vertical="center"/>
    </xf>
    <xf numFmtId="0" fontId="28" fillId="2" borderId="168" xfId="0" applyFont="1" applyFill="1" applyBorder="1" applyAlignment="1" applyProtection="1">
      <alignment horizontal="center" vertical="center" shrinkToFit="1"/>
    </xf>
    <xf numFmtId="2" fontId="28" fillId="2" borderId="295" xfId="0" applyNumberFormat="1" applyFont="1" applyFill="1" applyBorder="1" applyAlignment="1" applyProtection="1">
      <alignment vertical="center"/>
    </xf>
    <xf numFmtId="0" fontId="28" fillId="2" borderId="299" xfId="0" applyFont="1" applyFill="1" applyBorder="1" applyAlignment="1" applyProtection="1">
      <alignment horizontal="center" vertical="center" shrinkToFit="1"/>
    </xf>
    <xf numFmtId="2" fontId="28" fillId="2" borderId="204" xfId="0" applyNumberFormat="1" applyFont="1" applyFill="1" applyBorder="1" applyAlignment="1" applyProtection="1">
      <alignment vertical="center"/>
    </xf>
    <xf numFmtId="2" fontId="28" fillId="2" borderId="63" xfId="0" applyNumberFormat="1" applyFont="1" applyFill="1" applyBorder="1" applyAlignment="1" applyProtection="1">
      <alignment horizontal="center" vertical="center"/>
    </xf>
    <xf numFmtId="2" fontId="28" fillId="2" borderId="300" xfId="0" applyNumberFormat="1" applyFont="1" applyFill="1" applyBorder="1" applyAlignment="1" applyProtection="1">
      <alignment horizontal="center" vertical="center"/>
    </xf>
    <xf numFmtId="0" fontId="28" fillId="2" borderId="124" xfId="0" applyFont="1" applyFill="1" applyBorder="1" applyAlignment="1" applyProtection="1">
      <alignment horizontal="center" vertical="center" shrinkToFit="1"/>
    </xf>
    <xf numFmtId="2" fontId="28" fillId="2" borderId="224" xfId="0" applyNumberFormat="1" applyFont="1" applyFill="1" applyBorder="1" applyAlignment="1" applyProtection="1">
      <alignment vertical="center"/>
    </xf>
    <xf numFmtId="2" fontId="28" fillId="2" borderId="100" xfId="0" applyNumberFormat="1" applyFont="1" applyFill="1" applyBorder="1" applyAlignment="1" applyProtection="1">
      <alignment horizontal="center" vertical="center"/>
    </xf>
    <xf numFmtId="2" fontId="28" fillId="2" borderId="225" xfId="0" applyNumberFormat="1" applyFont="1" applyFill="1" applyBorder="1" applyAlignment="1" applyProtection="1">
      <alignment horizontal="center" vertical="center"/>
    </xf>
    <xf numFmtId="0" fontId="28" fillId="2" borderId="123" xfId="0" applyFont="1" applyFill="1" applyBorder="1" applyAlignment="1" applyProtection="1">
      <alignment horizontal="center" vertical="center" shrinkToFit="1"/>
    </xf>
    <xf numFmtId="2" fontId="28" fillId="2" borderId="226" xfId="0" applyNumberFormat="1" applyFont="1" applyFill="1" applyBorder="1" applyAlignment="1" applyProtection="1">
      <alignment vertical="center"/>
    </xf>
    <xf numFmtId="2" fontId="28" fillId="2" borderId="118" xfId="0" applyNumberFormat="1" applyFont="1" applyFill="1" applyBorder="1" applyAlignment="1" applyProtection="1">
      <alignment horizontal="center" vertical="center"/>
    </xf>
    <xf numFmtId="2" fontId="28" fillId="2" borderId="227" xfId="0" applyNumberFormat="1" applyFont="1" applyFill="1" applyBorder="1" applyAlignment="1" applyProtection="1">
      <alignment horizontal="center" vertical="center"/>
    </xf>
    <xf numFmtId="2" fontId="28" fillId="13" borderId="225" xfId="0" applyNumberFormat="1" applyFont="1" applyFill="1" applyBorder="1" applyAlignment="1" applyProtection="1">
      <alignment horizontal="center" vertical="center"/>
    </xf>
    <xf numFmtId="2" fontId="28" fillId="13" borderId="280" xfId="0" applyNumberFormat="1" applyFont="1" applyFill="1" applyBorder="1" applyAlignment="1" applyProtection="1">
      <alignment horizontal="center" vertical="center"/>
    </xf>
    <xf numFmtId="2" fontId="10" fillId="2" borderId="156" xfId="4" applyNumberFormat="1" applyFont="1" applyFill="1" applyBorder="1" applyAlignment="1" applyProtection="1">
      <alignment horizontal="right" vertical="center" shrinkToFit="1"/>
    </xf>
    <xf numFmtId="0" fontId="28" fillId="2" borderId="406" xfId="0" applyFont="1" applyFill="1" applyBorder="1" applyAlignment="1" applyProtection="1">
      <alignment horizontal="center" vertical="center" shrinkToFit="1"/>
    </xf>
    <xf numFmtId="0" fontId="28" fillId="2" borderId="151" xfId="0" applyFont="1" applyFill="1" applyBorder="1" applyAlignment="1" applyProtection="1">
      <alignment horizontal="center" vertical="center" shrinkToFit="1"/>
    </xf>
    <xf numFmtId="0" fontId="28" fillId="2" borderId="407" xfId="0" applyFont="1" applyFill="1" applyBorder="1" applyAlignment="1" applyProtection="1">
      <alignment horizontal="center" vertical="center" shrinkToFit="1"/>
    </xf>
    <xf numFmtId="207" fontId="47" fillId="2" borderId="4" xfId="4" applyNumberFormat="1" applyFont="1" applyFill="1" applyBorder="1" applyAlignment="1" applyProtection="1">
      <alignment horizontal="right" vertical="center" shrinkToFit="1"/>
    </xf>
    <xf numFmtId="205" fontId="28" fillId="2" borderId="4" xfId="0" applyNumberFormat="1" applyFont="1" applyFill="1" applyBorder="1" applyAlignment="1" applyProtection="1">
      <alignment horizontal="right" vertical="center" shrinkToFit="1"/>
    </xf>
    <xf numFmtId="207" fontId="28" fillId="2" borderId="4" xfId="0" applyNumberFormat="1" applyFont="1" applyFill="1" applyBorder="1" applyAlignment="1" applyProtection="1">
      <alignment horizontal="right" vertical="center" shrinkToFit="1"/>
    </xf>
    <xf numFmtId="0" fontId="63" fillId="0" borderId="38" xfId="0" applyFont="1" applyFill="1" applyBorder="1" applyAlignment="1" applyProtection="1">
      <alignment vertical="center" wrapText="1"/>
    </xf>
    <xf numFmtId="2" fontId="28" fillId="2" borderId="415" xfId="0" applyNumberFormat="1" applyFont="1" applyFill="1" applyBorder="1" applyAlignment="1" applyProtection="1">
      <alignment horizontal="center" vertical="center" shrinkToFit="1"/>
    </xf>
    <xf numFmtId="2" fontId="28" fillId="2" borderId="87" xfId="0" applyNumberFormat="1" applyFont="1" applyFill="1" applyBorder="1" applyAlignment="1" applyProtection="1">
      <alignment horizontal="center" vertical="center" shrinkToFit="1"/>
    </xf>
    <xf numFmtId="2" fontId="28" fillId="2" borderId="61" xfId="0" applyNumberFormat="1" applyFont="1" applyFill="1" applyBorder="1" applyAlignment="1" applyProtection="1">
      <alignment horizontal="center" vertical="center" shrinkToFit="1"/>
    </xf>
    <xf numFmtId="0" fontId="13" fillId="0" borderId="108" xfId="0" applyFont="1" applyFill="1" applyBorder="1" applyAlignment="1" applyProtection="1">
      <alignment horizontal="center" vertical="center"/>
    </xf>
    <xf numFmtId="0" fontId="13" fillId="0" borderId="26" xfId="0" applyFont="1" applyFill="1" applyBorder="1" applyAlignment="1" applyProtection="1">
      <alignment horizontal="center" vertical="center"/>
    </xf>
    <xf numFmtId="0" fontId="13" fillId="0" borderId="43" xfId="0" applyFont="1" applyFill="1" applyBorder="1" applyAlignment="1" applyProtection="1">
      <alignment horizontal="center" vertical="center"/>
    </xf>
    <xf numFmtId="0" fontId="39" fillId="0" borderId="30" xfId="0" applyFont="1" applyFill="1" applyBorder="1" applyAlignment="1" applyProtection="1">
      <alignment horizontal="center" vertical="center" wrapText="1"/>
    </xf>
    <xf numFmtId="0" fontId="39" fillId="0" borderId="34" xfId="0" applyFont="1" applyFill="1" applyBorder="1" applyAlignment="1" applyProtection="1">
      <alignment horizontal="center" vertical="center" wrapText="1"/>
    </xf>
    <xf numFmtId="0" fontId="39" fillId="0" borderId="39" xfId="0" applyFont="1" applyFill="1" applyBorder="1" applyAlignment="1" applyProtection="1">
      <alignment horizontal="center" vertical="center" wrapText="1"/>
    </xf>
    <xf numFmtId="0" fontId="29" fillId="0" borderId="383" xfId="0" applyFont="1" applyFill="1" applyBorder="1" applyAlignment="1" applyProtection="1">
      <alignment vertical="center" shrinkToFit="1"/>
    </xf>
    <xf numFmtId="0" fontId="28" fillId="2" borderId="420" xfId="0" applyFont="1" applyFill="1" applyBorder="1" applyAlignment="1" applyProtection="1">
      <alignment horizontal="center" vertical="center" shrinkToFit="1"/>
    </xf>
    <xf numFmtId="0" fontId="13" fillId="2" borderId="0" xfId="3" applyFont="1" applyFill="1" applyAlignment="1" applyProtection="1">
      <alignment vertical="center"/>
    </xf>
    <xf numFmtId="0" fontId="10" fillId="2" borderId="0" xfId="3" applyFont="1" applyFill="1" applyAlignment="1" applyProtection="1">
      <alignment vertical="center"/>
    </xf>
    <xf numFmtId="0" fontId="38" fillId="2" borderId="0" xfId="3" applyFont="1" applyFill="1" applyAlignment="1" applyProtection="1">
      <alignment vertical="center"/>
    </xf>
    <xf numFmtId="0" fontId="49" fillId="2" borderId="0" xfId="3" applyFont="1" applyFill="1" applyAlignment="1" applyProtection="1">
      <alignment vertical="center"/>
    </xf>
    <xf numFmtId="0" fontId="10" fillId="2" borderId="0" xfId="3" applyNumberFormat="1" applyFont="1" applyFill="1" applyBorder="1" applyAlignment="1" applyProtection="1">
      <alignment horizontal="right" vertical="center"/>
    </xf>
    <xf numFmtId="0" fontId="10" fillId="2" borderId="0" xfId="3" applyFont="1" applyFill="1" applyBorder="1" applyAlignment="1" applyProtection="1">
      <alignment vertical="center" shrinkToFit="1"/>
    </xf>
    <xf numFmtId="0" fontId="44" fillId="2" borderId="0" xfId="0" applyFont="1" applyFill="1" applyBorder="1" applyAlignment="1" applyProtection="1">
      <alignment horizontal="right" vertical="center"/>
    </xf>
    <xf numFmtId="0" fontId="50" fillId="2" borderId="0" xfId="3" applyFont="1" applyFill="1" applyBorder="1" applyAlignment="1" applyProtection="1">
      <alignment horizontal="right" vertical="center" shrinkToFit="1"/>
    </xf>
    <xf numFmtId="0" fontId="10" fillId="2" borderId="1" xfId="3" applyFont="1" applyFill="1" applyBorder="1" applyAlignment="1" applyProtection="1">
      <alignment horizontal="center" vertical="center" wrapText="1"/>
    </xf>
    <xf numFmtId="0" fontId="49" fillId="2" borderId="0" xfId="3" applyFont="1" applyFill="1" applyBorder="1" applyAlignment="1" applyProtection="1">
      <alignment vertical="center"/>
    </xf>
    <xf numFmtId="2" fontId="50" fillId="2" borderId="0" xfId="3" applyNumberFormat="1" applyFont="1" applyFill="1" applyBorder="1" applyAlignment="1" applyProtection="1">
      <alignment vertical="center"/>
    </xf>
    <xf numFmtId="2" fontId="50" fillId="2" borderId="0" xfId="3" applyNumberFormat="1" applyFont="1" applyFill="1" applyBorder="1" applyAlignment="1" applyProtection="1">
      <alignment horizontal="center" vertical="center"/>
    </xf>
    <xf numFmtId="0" fontId="10" fillId="2" borderId="246" xfId="3" applyNumberFormat="1" applyFont="1" applyFill="1" applyBorder="1" applyAlignment="1" applyProtection="1">
      <alignment horizontal="center" vertical="center" shrinkToFit="1"/>
    </xf>
    <xf numFmtId="0" fontId="10" fillId="2" borderId="252" xfId="3" applyNumberFormat="1" applyFont="1" applyFill="1" applyBorder="1" applyAlignment="1" applyProtection="1">
      <alignment horizontal="center" vertical="center" shrinkToFit="1"/>
    </xf>
    <xf numFmtId="0" fontId="10" fillId="2" borderId="256" xfId="3" applyNumberFormat="1" applyFont="1" applyFill="1" applyBorder="1" applyAlignment="1" applyProtection="1">
      <alignment horizontal="center" vertical="center" shrinkToFit="1"/>
    </xf>
    <xf numFmtId="0" fontId="10" fillId="2" borderId="0" xfId="0" applyFont="1" applyFill="1" applyAlignment="1" applyProtection="1">
      <alignment vertical="center"/>
    </xf>
    <xf numFmtId="0" fontId="28" fillId="2" borderId="170" xfId="0" applyFont="1" applyFill="1" applyBorder="1" applyAlignment="1" applyProtection="1">
      <alignment horizontal="center" vertical="center"/>
    </xf>
    <xf numFmtId="0" fontId="28" fillId="2" borderId="171" xfId="0" applyFont="1" applyFill="1" applyBorder="1" applyAlignment="1" applyProtection="1">
      <alignment horizontal="center" vertical="center"/>
    </xf>
    <xf numFmtId="0" fontId="10" fillId="2" borderId="254" xfId="3" applyFont="1" applyFill="1" applyBorder="1" applyAlignment="1" applyProtection="1">
      <alignment horizontal="center" vertical="center" shrinkToFit="1"/>
      <protection locked="0"/>
    </xf>
    <xf numFmtId="0" fontId="10" fillId="2" borderId="258" xfId="3" applyFont="1" applyFill="1" applyBorder="1" applyAlignment="1" applyProtection="1">
      <alignment horizontal="center" vertical="center" shrinkToFit="1"/>
      <protection locked="0"/>
    </xf>
    <xf numFmtId="206" fontId="10" fillId="2" borderId="193" xfId="3" applyNumberFormat="1" applyFont="1" applyFill="1" applyBorder="1" applyAlignment="1" applyProtection="1">
      <alignment horizontal="right" vertical="center" shrinkToFit="1"/>
    </xf>
    <xf numFmtId="206" fontId="10" fillId="2" borderId="177" xfId="3" applyNumberFormat="1" applyFont="1" applyFill="1" applyBorder="1" applyAlignment="1" applyProtection="1">
      <alignment horizontal="right" vertical="center" shrinkToFit="1"/>
    </xf>
    <xf numFmtId="206" fontId="10" fillId="2" borderId="180" xfId="3" applyNumberFormat="1" applyFont="1" applyFill="1" applyBorder="1" applyAlignment="1" applyProtection="1">
      <alignment horizontal="right" vertical="center" shrinkToFit="1"/>
    </xf>
    <xf numFmtId="0" fontId="28" fillId="2" borderId="194" xfId="0" applyFont="1" applyFill="1" applyBorder="1" applyAlignment="1" applyProtection="1">
      <alignment horizontal="center" vertical="center" shrinkToFit="1"/>
    </xf>
    <xf numFmtId="0" fontId="28" fillId="2" borderId="170" xfId="0" applyFont="1" applyFill="1" applyBorder="1" applyAlignment="1" applyProtection="1">
      <alignment horizontal="center" vertical="center" shrinkToFit="1"/>
    </xf>
    <xf numFmtId="0" fontId="28" fillId="2" borderId="171" xfId="0" applyFont="1" applyFill="1" applyBorder="1" applyAlignment="1" applyProtection="1">
      <alignment horizontal="center" vertical="center" shrinkToFit="1"/>
    </xf>
    <xf numFmtId="0" fontId="10" fillId="2" borderId="262" xfId="3" applyFont="1" applyFill="1" applyBorder="1" applyAlignment="1" applyProtection="1">
      <alignment horizontal="center" vertical="center" shrinkToFit="1"/>
      <protection locked="0"/>
    </xf>
    <xf numFmtId="0" fontId="42" fillId="2" borderId="3" xfId="3" applyFont="1" applyFill="1" applyBorder="1" applyAlignment="1" applyProtection="1">
      <alignment horizontal="center" vertical="center" shrinkToFit="1"/>
    </xf>
    <xf numFmtId="0" fontId="42" fillId="2" borderId="9" xfId="3" applyFont="1" applyFill="1" applyBorder="1" applyAlignment="1" applyProtection="1">
      <alignment horizontal="center" vertical="center" shrinkToFit="1"/>
    </xf>
    <xf numFmtId="0" fontId="4" fillId="2" borderId="191" xfId="3" applyFont="1" applyFill="1" applyBorder="1" applyAlignment="1" applyProtection="1">
      <alignment horizontal="center" vertical="center" shrinkToFit="1"/>
    </xf>
    <xf numFmtId="0" fontId="4" fillId="2" borderId="197" xfId="3" applyFont="1" applyFill="1" applyBorder="1" applyAlignment="1" applyProtection="1">
      <alignment horizontal="center" vertical="center" shrinkToFit="1"/>
    </xf>
    <xf numFmtId="0" fontId="4" fillId="2" borderId="199" xfId="3" applyFont="1" applyFill="1" applyBorder="1" applyAlignment="1" applyProtection="1">
      <alignment horizontal="center" vertical="center" shrinkToFit="1"/>
    </xf>
    <xf numFmtId="198" fontId="4" fillId="2" borderId="24" xfId="3" applyNumberFormat="1" applyFont="1" applyFill="1" applyBorder="1" applyAlignment="1" applyProtection="1">
      <alignment shrinkToFit="1"/>
    </xf>
    <xf numFmtId="4" fontId="31" fillId="2" borderId="189" xfId="2" applyNumberFormat="1" applyFont="1" applyFill="1" applyBorder="1" applyAlignment="1" applyProtection="1">
      <alignment horizontal="right" vertical="center" shrinkToFit="1"/>
    </xf>
    <xf numFmtId="4" fontId="31" fillId="2" borderId="195" xfId="2" applyNumberFormat="1" applyFont="1" applyFill="1" applyBorder="1" applyAlignment="1" applyProtection="1">
      <alignment horizontal="right" vertical="center" shrinkToFit="1"/>
    </xf>
    <xf numFmtId="4" fontId="31" fillId="2" borderId="186" xfId="2" applyNumberFormat="1" applyFont="1" applyFill="1" applyBorder="1" applyAlignment="1" applyProtection="1">
      <alignment horizontal="right" vertical="center" shrinkToFit="1"/>
    </xf>
    <xf numFmtId="0" fontId="42" fillId="2" borderId="0" xfId="1" applyFont="1" applyFill="1" applyAlignment="1">
      <alignment horizontal="center" vertical="center"/>
    </xf>
    <xf numFmtId="0" fontId="4" fillId="2" borderId="0" xfId="1" applyFont="1" applyFill="1" applyAlignment="1">
      <alignment vertical="center"/>
    </xf>
    <xf numFmtId="0" fontId="9" fillId="2" borderId="0" xfId="1" applyFont="1" applyFill="1" applyAlignment="1">
      <alignment vertical="center"/>
    </xf>
    <xf numFmtId="0" fontId="42" fillId="2" borderId="0" xfId="1" applyFont="1" applyFill="1" applyBorder="1" applyAlignment="1">
      <alignment vertical="center"/>
    </xf>
    <xf numFmtId="0" fontId="42" fillId="2" borderId="0" xfId="1" applyFont="1" applyFill="1" applyBorder="1" applyAlignment="1">
      <alignment horizontal="right" vertical="center"/>
    </xf>
    <xf numFmtId="0" fontId="42" fillId="2" borderId="44" xfId="1" applyFont="1" applyFill="1" applyBorder="1" applyAlignment="1">
      <alignment horizontal="center" vertical="center"/>
    </xf>
    <xf numFmtId="0" fontId="42" fillId="2" borderId="3" xfId="1" applyFont="1" applyFill="1" applyBorder="1" applyAlignment="1">
      <alignment horizontal="center" vertical="center"/>
    </xf>
    <xf numFmtId="0" fontId="42" fillId="2" borderId="27" xfId="1" applyFont="1" applyFill="1" applyBorder="1" applyAlignment="1">
      <alignment horizontal="center" vertical="center"/>
    </xf>
    <xf numFmtId="0" fontId="42" fillId="2" borderId="0" xfId="1" applyFont="1" applyFill="1" applyAlignment="1">
      <alignment vertical="center"/>
    </xf>
    <xf numFmtId="0" fontId="4" fillId="2" borderId="0" xfId="1" applyFont="1" applyFill="1" applyBorder="1" applyAlignment="1">
      <alignment horizontal="center" vertical="center"/>
    </xf>
    <xf numFmtId="0" fontId="42" fillId="2" borderId="45" xfId="1" applyFont="1" applyFill="1" applyBorder="1" applyAlignment="1">
      <alignment horizontal="center" vertical="center"/>
    </xf>
    <xf numFmtId="0" fontId="10" fillId="2" borderId="0" xfId="1" applyFont="1" applyFill="1" applyAlignment="1">
      <alignment vertical="center"/>
    </xf>
    <xf numFmtId="0" fontId="29" fillId="2" borderId="0" xfId="1" applyFont="1" applyFill="1" applyAlignment="1">
      <alignment horizontal="left" vertical="center"/>
    </xf>
    <xf numFmtId="0" fontId="10" fillId="2" borderId="36" xfId="0" applyFont="1" applyFill="1" applyBorder="1" applyAlignment="1" applyProtection="1">
      <alignment vertical="center"/>
    </xf>
    <xf numFmtId="0" fontId="10" fillId="2" borderId="0" xfId="0" applyFont="1" applyFill="1" applyBorder="1" applyAlignment="1" applyProtection="1">
      <alignment vertical="center"/>
    </xf>
    <xf numFmtId="0" fontId="13" fillId="2" borderId="0" xfId="0" applyFont="1" applyFill="1" applyBorder="1" applyAlignment="1" applyProtection="1">
      <alignment vertical="center"/>
    </xf>
    <xf numFmtId="0" fontId="10" fillId="2" borderId="34" xfId="0" applyFont="1" applyFill="1" applyBorder="1" applyAlignment="1" applyProtection="1">
      <alignment vertical="center" shrinkToFit="1"/>
    </xf>
    <xf numFmtId="0" fontId="10" fillId="2" borderId="34" xfId="0" applyFont="1" applyFill="1" applyBorder="1" applyAlignment="1" applyProtection="1">
      <alignment vertical="center"/>
    </xf>
    <xf numFmtId="0" fontId="15" fillId="2" borderId="0" xfId="0" applyFont="1" applyFill="1" applyBorder="1" applyAlignment="1" applyProtection="1">
      <alignment vertical="center" shrinkToFit="1"/>
    </xf>
    <xf numFmtId="0" fontId="10" fillId="2" borderId="14" xfId="0" applyFont="1" applyFill="1" applyBorder="1" applyAlignment="1" applyProtection="1">
      <alignment vertical="center"/>
    </xf>
    <xf numFmtId="0" fontId="16" fillId="2" borderId="0" xfId="0" applyFont="1" applyFill="1" applyBorder="1" applyAlignment="1" applyProtection="1">
      <alignment vertical="center"/>
    </xf>
    <xf numFmtId="0" fontId="10" fillId="2" borderId="20" xfId="0" applyFont="1" applyFill="1" applyBorder="1" applyAlignment="1" applyProtection="1">
      <alignment vertical="center" shrinkToFit="1"/>
    </xf>
    <xf numFmtId="0" fontId="10" fillId="2" borderId="10" xfId="0" applyFont="1" applyFill="1" applyBorder="1" applyAlignment="1" applyProtection="1">
      <alignment vertical="center" shrinkToFit="1"/>
    </xf>
    <xf numFmtId="0" fontId="12" fillId="2" borderId="70" xfId="0" applyFont="1" applyFill="1" applyBorder="1" applyAlignment="1" applyProtection="1">
      <alignment vertical="center" shrinkToFit="1"/>
    </xf>
    <xf numFmtId="0" fontId="10" fillId="2" borderId="70" xfId="0" applyFont="1" applyFill="1" applyBorder="1" applyAlignment="1" applyProtection="1">
      <alignment vertical="center" shrinkToFit="1"/>
    </xf>
    <xf numFmtId="0" fontId="14" fillId="2" borderId="93" xfId="0" applyFont="1" applyFill="1" applyBorder="1" applyAlignment="1" applyProtection="1">
      <alignment vertical="center"/>
    </xf>
    <xf numFmtId="0" fontId="10" fillId="2" borderId="39" xfId="0" applyFont="1" applyFill="1" applyBorder="1" applyAlignment="1" applyProtection="1">
      <alignment vertical="center"/>
    </xf>
    <xf numFmtId="0" fontId="10" fillId="2" borderId="70" xfId="0" applyFont="1" applyFill="1" applyBorder="1" applyAlignment="1" applyProtection="1">
      <alignment vertical="center"/>
    </xf>
    <xf numFmtId="0" fontId="14" fillId="2" borderId="70" xfId="0" applyFont="1" applyFill="1" applyBorder="1" applyAlignment="1" applyProtection="1">
      <alignment vertical="center"/>
    </xf>
    <xf numFmtId="0" fontId="10" fillId="2" borderId="46" xfId="0" applyFont="1" applyFill="1" applyBorder="1" applyAlignment="1" applyProtection="1">
      <alignment vertical="center"/>
    </xf>
    <xf numFmtId="0" fontId="10" fillId="2" borderId="15" xfId="0" applyFont="1" applyFill="1" applyBorder="1" applyAlignment="1" applyProtection="1">
      <alignment vertical="center"/>
    </xf>
    <xf numFmtId="0" fontId="27" fillId="2" borderId="0" xfId="0" applyFont="1" applyFill="1" applyProtection="1">
      <alignment vertical="center"/>
    </xf>
    <xf numFmtId="0" fontId="41" fillId="2" borderId="0" xfId="0" applyFont="1" applyFill="1" applyProtection="1">
      <alignment vertical="center"/>
    </xf>
    <xf numFmtId="0" fontId="27" fillId="2" borderId="18" xfId="0" applyFont="1" applyFill="1" applyBorder="1" applyProtection="1">
      <alignment vertical="center"/>
    </xf>
    <xf numFmtId="0" fontId="43" fillId="2" borderId="0" xfId="0" applyFont="1" applyFill="1" applyAlignment="1" applyProtection="1">
      <alignment vertical="center"/>
    </xf>
    <xf numFmtId="0" fontId="27" fillId="2" borderId="0" xfId="0" applyFont="1" applyFill="1" applyAlignment="1" applyProtection="1">
      <alignment vertical="center"/>
    </xf>
    <xf numFmtId="0" fontId="44" fillId="2" borderId="0" xfId="0" applyFont="1" applyFill="1" applyAlignment="1" applyProtection="1">
      <alignment vertical="center"/>
    </xf>
    <xf numFmtId="0" fontId="27" fillId="2" borderId="0" xfId="0" applyFont="1" applyFill="1" applyAlignment="1" applyProtection="1">
      <alignment vertical="center" shrinkToFit="1"/>
    </xf>
    <xf numFmtId="0" fontId="27" fillId="2" borderId="72" xfId="0" applyFont="1" applyFill="1" applyBorder="1" applyAlignment="1" applyProtection="1">
      <alignment horizontal="center" vertical="center" shrinkToFit="1"/>
    </xf>
    <xf numFmtId="0" fontId="27" fillId="2" borderId="15" xfId="0" applyFont="1" applyFill="1" applyBorder="1" applyAlignment="1" applyProtection="1">
      <alignment vertical="top" textRotation="255" shrinkToFit="1"/>
    </xf>
    <xf numFmtId="0" fontId="27" fillId="2" borderId="50" xfId="0" applyFont="1" applyFill="1" applyBorder="1" applyAlignment="1" applyProtection="1">
      <alignment vertical="top" textRotation="255" shrinkToFit="1"/>
    </xf>
    <xf numFmtId="0" fontId="27" fillId="2" borderId="79" xfId="0" applyFont="1" applyFill="1" applyBorder="1" applyAlignment="1" applyProtection="1">
      <alignment horizontal="center" vertical="center" textRotation="255"/>
    </xf>
    <xf numFmtId="0" fontId="27" fillId="2" borderId="80" xfId="0" applyFont="1" applyFill="1" applyBorder="1" applyAlignment="1" applyProtection="1">
      <alignment horizontal="center" vertical="center" textRotation="255"/>
    </xf>
    <xf numFmtId="0" fontId="27" fillId="2" borderId="54" xfId="0" applyFont="1" applyFill="1" applyBorder="1" applyAlignment="1" applyProtection="1">
      <alignment horizontal="center" vertical="center" textRotation="255"/>
    </xf>
    <xf numFmtId="0" fontId="27" fillId="2" borderId="76" xfId="0" applyFont="1" applyFill="1" applyBorder="1" applyAlignment="1" applyProtection="1">
      <alignment vertical="center" textRotation="255" shrinkToFit="1"/>
    </xf>
    <xf numFmtId="187" fontId="27" fillId="2" borderId="76" xfId="0" applyNumberFormat="1" applyFont="1" applyFill="1" applyBorder="1" applyAlignment="1" applyProtection="1">
      <alignment vertical="center" textRotation="255" shrinkToFit="1"/>
    </xf>
    <xf numFmtId="0" fontId="27" fillId="2" borderId="81" xfId="0" applyFont="1" applyFill="1" applyBorder="1" applyAlignment="1" applyProtection="1">
      <alignment horizontal="center" vertical="center" textRotation="255" shrinkToFit="1"/>
    </xf>
    <xf numFmtId="0" fontId="27" fillId="2" borderId="80" xfId="0" applyFont="1" applyFill="1" applyBorder="1" applyAlignment="1" applyProtection="1">
      <alignment horizontal="center" vertical="center" textRotation="255" shrinkToFit="1"/>
    </xf>
    <xf numFmtId="0" fontId="27" fillId="2" borderId="76" xfId="0" applyFont="1" applyFill="1" applyBorder="1" applyAlignment="1" applyProtection="1">
      <alignment vertical="center" textRotation="255" wrapText="1" shrinkToFit="1"/>
    </xf>
    <xf numFmtId="0" fontId="27" fillId="2" borderId="111" xfId="0" applyFont="1" applyFill="1" applyBorder="1" applyAlignment="1" applyProtection="1">
      <alignment vertical="center" textRotation="255" wrapText="1" shrinkToFit="1"/>
    </xf>
    <xf numFmtId="0" fontId="27" fillId="2" borderId="201" xfId="0" applyFont="1" applyFill="1" applyBorder="1" applyAlignment="1" applyProtection="1">
      <alignment horizontal="center" vertical="center"/>
    </xf>
    <xf numFmtId="0" fontId="27" fillId="2" borderId="202" xfId="0" applyFont="1" applyFill="1" applyBorder="1" applyAlignment="1" applyProtection="1">
      <alignment horizontal="center" vertical="center"/>
    </xf>
    <xf numFmtId="0" fontId="27" fillId="2" borderId="203" xfId="0" applyFont="1" applyFill="1" applyBorder="1" applyAlignment="1" applyProtection="1">
      <alignment horizontal="center" vertical="center"/>
    </xf>
    <xf numFmtId="0" fontId="28" fillId="2" borderId="421" xfId="0" applyFont="1" applyFill="1" applyBorder="1" applyAlignment="1" applyProtection="1">
      <alignment horizontal="center" vertical="center" shrinkToFit="1"/>
    </xf>
    <xf numFmtId="0" fontId="28" fillId="2" borderId="327" xfId="0" applyFont="1" applyFill="1" applyBorder="1" applyAlignment="1" applyProtection="1">
      <alignment horizontal="center" vertical="center" shrinkToFit="1"/>
    </xf>
    <xf numFmtId="38" fontId="29" fillId="0" borderId="339" xfId="0" applyNumberFormat="1" applyFont="1" applyFill="1" applyBorder="1" applyAlignment="1" applyProtection="1">
      <alignment vertical="center" shrinkToFit="1"/>
    </xf>
    <xf numFmtId="0" fontId="29" fillId="0" borderId="389" xfId="0" applyFont="1" applyFill="1" applyBorder="1" applyAlignment="1" applyProtection="1">
      <alignment horizontal="center" vertical="center" shrinkToFit="1"/>
    </xf>
    <xf numFmtId="0" fontId="29" fillId="0" borderId="0" xfId="0" applyFont="1" applyFill="1" applyBorder="1" applyAlignment="1" applyProtection="1">
      <alignment horizontal="center" vertical="center" shrinkToFit="1"/>
    </xf>
    <xf numFmtId="0" fontId="48" fillId="2" borderId="0" xfId="0" applyFont="1" applyFill="1" applyProtection="1">
      <alignment vertical="center"/>
    </xf>
    <xf numFmtId="0" fontId="29" fillId="2" borderId="0" xfId="0" applyFont="1" applyFill="1" applyProtection="1">
      <alignment vertical="center"/>
    </xf>
    <xf numFmtId="0" fontId="47" fillId="2" borderId="0" xfId="0" applyFont="1" applyFill="1" applyProtection="1">
      <alignment vertical="center"/>
    </xf>
    <xf numFmtId="203" fontId="47" fillId="2" borderId="10" xfId="0" applyNumberFormat="1" applyFont="1" applyFill="1" applyBorder="1" applyAlignment="1" applyProtection="1">
      <alignment horizontal="center" vertical="center"/>
    </xf>
    <xf numFmtId="0" fontId="28" fillId="2" borderId="0" xfId="0" applyFont="1" applyFill="1" applyAlignment="1" applyProtection="1">
      <alignment vertical="center" shrinkToFit="1"/>
    </xf>
    <xf numFmtId="0" fontId="10" fillId="2" borderId="0" xfId="3" applyFont="1" applyFill="1" applyBorder="1" applyAlignment="1" applyProtection="1">
      <alignment horizontal="center" vertical="center"/>
    </xf>
    <xf numFmtId="0" fontId="13" fillId="2" borderId="0" xfId="3" applyFont="1" applyFill="1" applyBorder="1" applyAlignment="1" applyProtection="1">
      <alignment horizontal="center" vertical="center" shrinkToFit="1"/>
    </xf>
    <xf numFmtId="0" fontId="28" fillId="2" borderId="314" xfId="0" applyFont="1" applyFill="1" applyBorder="1" applyAlignment="1" applyProtection="1">
      <alignment horizontal="center" vertical="center"/>
    </xf>
    <xf numFmtId="0" fontId="28" fillId="2" borderId="317" xfId="0" applyFont="1" applyFill="1" applyBorder="1" applyAlignment="1" applyProtection="1">
      <alignment horizontal="center" vertical="center"/>
    </xf>
    <xf numFmtId="0" fontId="28" fillId="2" borderId="320" xfId="0" applyFont="1" applyFill="1" applyBorder="1" applyAlignment="1" applyProtection="1">
      <alignment horizontal="center" vertical="center"/>
    </xf>
    <xf numFmtId="201" fontId="28" fillId="2" borderId="160" xfId="0" applyNumberFormat="1" applyFont="1" applyFill="1" applyBorder="1" applyAlignment="1" applyProtection="1">
      <alignment horizontal="center" vertical="center"/>
    </xf>
    <xf numFmtId="201" fontId="28" fillId="2" borderId="0" xfId="0" applyNumberFormat="1" applyFont="1" applyFill="1" applyBorder="1" applyAlignment="1" applyProtection="1">
      <alignment horizontal="center" vertical="center"/>
    </xf>
    <xf numFmtId="0" fontId="28" fillId="2" borderId="321" xfId="0" applyFont="1" applyFill="1" applyBorder="1" applyProtection="1">
      <alignment vertical="center"/>
    </xf>
    <xf numFmtId="0" fontId="47" fillId="2" borderId="165" xfId="0" applyFont="1" applyFill="1" applyBorder="1" applyAlignment="1" applyProtection="1">
      <alignment horizontal="center" vertical="center"/>
    </xf>
    <xf numFmtId="0" fontId="28" fillId="2" borderId="0" xfId="0" applyFont="1" applyFill="1" applyBorder="1" applyProtection="1">
      <alignment vertical="center"/>
    </xf>
    <xf numFmtId="202" fontId="28" fillId="2" borderId="313" xfId="0" applyNumberFormat="1" applyFont="1" applyFill="1" applyBorder="1" applyAlignment="1" applyProtection="1">
      <alignment horizontal="center" vertical="center"/>
    </xf>
    <xf numFmtId="201" fontId="28" fillId="2" borderId="313" xfId="0" applyNumberFormat="1" applyFont="1" applyFill="1" applyBorder="1" applyAlignment="1" applyProtection="1">
      <alignment horizontal="center" vertical="center"/>
    </xf>
    <xf numFmtId="201" fontId="28" fillId="2" borderId="314" xfId="0" applyNumberFormat="1" applyFont="1" applyFill="1" applyBorder="1" applyAlignment="1" applyProtection="1">
      <alignment horizontal="center" vertical="center"/>
    </xf>
    <xf numFmtId="202" fontId="28" fillId="2" borderId="316" xfId="0" applyNumberFormat="1" applyFont="1" applyFill="1" applyBorder="1" applyAlignment="1" applyProtection="1">
      <alignment horizontal="center" vertical="center"/>
    </xf>
    <xf numFmtId="201" fontId="28" fillId="2" borderId="316" xfId="0" applyNumberFormat="1" applyFont="1" applyFill="1" applyBorder="1" applyAlignment="1" applyProtection="1">
      <alignment horizontal="center" vertical="center"/>
    </xf>
    <xf numFmtId="201" fontId="28" fillId="2" borderId="317" xfId="0" applyNumberFormat="1" applyFont="1" applyFill="1" applyBorder="1" applyAlignment="1" applyProtection="1">
      <alignment horizontal="center" vertical="center"/>
    </xf>
    <xf numFmtId="202" fontId="28" fillId="2" borderId="319" xfId="0" applyNumberFormat="1" applyFont="1" applyFill="1" applyBorder="1" applyAlignment="1" applyProtection="1">
      <alignment horizontal="center" vertical="center"/>
    </xf>
    <xf numFmtId="201" fontId="28" fillId="2" borderId="319" xfId="0" applyNumberFormat="1" applyFont="1" applyFill="1" applyBorder="1" applyAlignment="1" applyProtection="1">
      <alignment horizontal="center" vertical="center"/>
    </xf>
    <xf numFmtId="201" fontId="28" fillId="2" borderId="320" xfId="0" applyNumberFormat="1" applyFont="1" applyFill="1" applyBorder="1" applyAlignment="1" applyProtection="1">
      <alignment horizontal="center" vertical="center"/>
    </xf>
    <xf numFmtId="0" fontId="47" fillId="2" borderId="166" xfId="0" applyFont="1" applyFill="1" applyBorder="1" applyAlignment="1" applyProtection="1">
      <alignment horizontal="center" vertical="center"/>
    </xf>
    <xf numFmtId="0" fontId="13" fillId="2" borderId="166" xfId="3" applyFont="1" applyFill="1" applyBorder="1" applyAlignment="1" applyProtection="1">
      <alignment horizontal="center" vertical="center"/>
    </xf>
    <xf numFmtId="0" fontId="47" fillId="14" borderId="116" xfId="0" applyFont="1" applyFill="1" applyBorder="1" applyAlignment="1" applyProtection="1">
      <alignment horizontal="center" vertical="center" shrinkToFit="1"/>
    </xf>
    <xf numFmtId="0" fontId="47" fillId="14" borderId="311" xfId="0" applyFont="1" applyFill="1" applyBorder="1" applyAlignment="1" applyProtection="1">
      <alignment horizontal="center" vertical="center"/>
    </xf>
    <xf numFmtId="0" fontId="47" fillId="14" borderId="160" xfId="0" applyFont="1" applyFill="1" applyBorder="1" applyAlignment="1" applyProtection="1">
      <alignment horizontal="center" vertical="center"/>
    </xf>
    <xf numFmtId="0" fontId="47" fillId="14" borderId="116" xfId="0" applyFont="1" applyFill="1" applyBorder="1" applyAlignment="1" applyProtection="1">
      <alignment horizontal="center" vertical="center"/>
    </xf>
    <xf numFmtId="0" fontId="10" fillId="2" borderId="87" xfId="0" applyFont="1" applyFill="1" applyBorder="1" applyAlignment="1" applyProtection="1">
      <alignment vertical="center"/>
    </xf>
    <xf numFmtId="0" fontId="10" fillId="2" borderId="13" xfId="0" applyFont="1" applyFill="1" applyBorder="1" applyAlignment="1" applyProtection="1">
      <alignment vertical="center"/>
    </xf>
    <xf numFmtId="0" fontId="10" fillId="2" borderId="112" xfId="0" applyFont="1" applyFill="1" applyBorder="1" applyAlignment="1" applyProtection="1">
      <alignment horizontal="center" vertical="center"/>
    </xf>
    <xf numFmtId="0" fontId="10" fillId="2" borderId="135" xfId="0" applyFont="1" applyFill="1" applyBorder="1" applyAlignment="1" applyProtection="1">
      <alignment horizontal="center" vertical="center"/>
    </xf>
    <xf numFmtId="0" fontId="10" fillId="2" borderId="0" xfId="0" applyFont="1" applyFill="1" applyBorder="1" applyAlignment="1" applyProtection="1">
      <alignment vertical="center" wrapText="1"/>
    </xf>
    <xf numFmtId="0" fontId="36" fillId="2" borderId="0" xfId="0" applyFont="1" applyFill="1" applyAlignment="1" applyProtection="1">
      <alignment vertical="center"/>
    </xf>
    <xf numFmtId="0" fontId="14" fillId="2" borderId="0" xfId="0" applyFont="1" applyFill="1" applyBorder="1" applyAlignment="1" applyProtection="1">
      <alignment horizontal="center" vertical="center" shrinkToFit="1"/>
    </xf>
    <xf numFmtId="0" fontId="37" fillId="2" borderId="0" xfId="0" applyFont="1" applyFill="1" applyBorder="1" applyAlignment="1" applyProtection="1">
      <alignment vertical="center"/>
    </xf>
    <xf numFmtId="0" fontId="10" fillId="2" borderId="21" xfId="0" applyFont="1" applyFill="1" applyBorder="1" applyAlignment="1" applyProtection="1">
      <alignment horizontal="left" vertical="center"/>
    </xf>
    <xf numFmtId="0" fontId="28" fillId="2" borderId="105" xfId="0" applyFont="1" applyFill="1" applyBorder="1" applyAlignment="1" applyProtection="1">
      <alignment horizontal="left" vertical="center"/>
    </xf>
    <xf numFmtId="0" fontId="28" fillId="2" borderId="103" xfId="0" applyFont="1" applyFill="1" applyBorder="1" applyAlignment="1" applyProtection="1">
      <alignment horizontal="left" vertical="center"/>
    </xf>
    <xf numFmtId="0" fontId="10" fillId="2" borderId="104" xfId="0" applyFont="1" applyFill="1" applyBorder="1" applyAlignment="1" applyProtection="1">
      <alignment vertical="center"/>
    </xf>
    <xf numFmtId="0" fontId="10" fillId="2" borderId="21" xfId="0" applyFont="1" applyFill="1" applyBorder="1" applyAlignment="1" applyProtection="1">
      <alignment vertical="center"/>
    </xf>
    <xf numFmtId="0" fontId="10" fillId="2" borderId="20" xfId="0" applyFont="1" applyFill="1" applyBorder="1" applyAlignment="1" applyProtection="1">
      <alignment vertical="center"/>
    </xf>
    <xf numFmtId="0" fontId="10" fillId="2" borderId="156" xfId="0" applyFont="1" applyFill="1" applyBorder="1" applyAlignment="1" applyProtection="1">
      <alignment vertical="center" shrinkToFit="1"/>
    </xf>
    <xf numFmtId="0" fontId="10" fillId="2" borderId="157" xfId="0" applyFont="1" applyFill="1" applyBorder="1" applyAlignment="1" applyProtection="1">
      <alignment vertical="center" shrinkToFit="1"/>
    </xf>
    <xf numFmtId="0" fontId="28" fillId="2" borderId="17" xfId="0" applyFont="1" applyFill="1" applyBorder="1" applyAlignment="1" applyProtection="1">
      <alignment horizontal="center" vertical="center" wrapText="1"/>
    </xf>
    <xf numFmtId="0" fontId="10" fillId="2" borderId="21" xfId="0" applyFont="1" applyFill="1" applyBorder="1" applyAlignment="1" applyProtection="1">
      <alignment vertical="center" wrapText="1"/>
    </xf>
    <xf numFmtId="0" fontId="28" fillId="2" borderId="422" xfId="0" applyFont="1" applyFill="1" applyBorder="1" applyAlignment="1" applyProtection="1">
      <alignment horizontal="center" vertical="center" shrinkToFit="1"/>
    </xf>
    <xf numFmtId="0" fontId="29" fillId="0" borderId="265" xfId="0" applyFont="1" applyFill="1" applyBorder="1" applyAlignment="1" applyProtection="1">
      <alignment vertical="center" shrinkToFit="1"/>
    </xf>
    <xf numFmtId="199" fontId="2" fillId="12" borderId="160" xfId="3" applyNumberFormat="1" applyFont="1" applyFill="1" applyBorder="1" applyAlignment="1" applyProtection="1">
      <alignment horizontal="left" shrinkToFit="1"/>
      <protection locked="0"/>
    </xf>
    <xf numFmtId="199" fontId="2" fillId="12" borderId="116" xfId="3" applyNumberFormat="1" applyFont="1" applyFill="1" applyBorder="1" applyAlignment="1" applyProtection="1">
      <alignment horizontal="left" shrinkToFit="1"/>
      <protection locked="0"/>
    </xf>
    <xf numFmtId="0" fontId="44" fillId="2" borderId="246" xfId="0" applyFont="1" applyFill="1" applyBorder="1" applyAlignment="1" applyProtection="1">
      <alignment vertical="center"/>
    </xf>
    <xf numFmtId="0" fontId="44" fillId="2" borderId="262" xfId="0" applyFont="1" applyFill="1" applyBorder="1" applyAlignment="1" applyProtection="1">
      <alignment vertical="center"/>
    </xf>
    <xf numFmtId="0" fontId="44" fillId="2" borderId="252" xfId="0" applyFont="1" applyFill="1" applyBorder="1" applyAlignment="1" applyProtection="1">
      <alignment vertical="center"/>
    </xf>
    <xf numFmtId="0" fontId="44" fillId="2" borderId="254" xfId="0" applyFont="1" applyFill="1" applyBorder="1" applyAlignment="1" applyProtection="1">
      <alignment vertical="center"/>
    </xf>
    <xf numFmtId="0" fontId="44" fillId="2" borderId="256" xfId="0" applyFont="1" applyFill="1" applyBorder="1" applyAlignment="1" applyProtection="1">
      <alignment vertical="center"/>
    </xf>
    <xf numFmtId="0" fontId="44" fillId="2" borderId="258" xfId="0" applyFont="1" applyFill="1" applyBorder="1" applyAlignment="1" applyProtection="1">
      <alignment vertical="center"/>
    </xf>
    <xf numFmtId="2" fontId="50" fillId="2" borderId="193" xfId="3" applyNumberFormat="1" applyFont="1" applyFill="1" applyBorder="1" applyAlignment="1" applyProtection="1">
      <alignment vertical="center"/>
    </xf>
    <xf numFmtId="2" fontId="50" fillId="2" borderId="177" xfId="3" applyNumberFormat="1" applyFont="1" applyFill="1" applyBorder="1" applyAlignment="1" applyProtection="1">
      <alignment vertical="center"/>
    </xf>
    <xf numFmtId="2" fontId="50" fillId="2" borderId="180" xfId="3" applyNumberFormat="1" applyFont="1" applyFill="1" applyBorder="1" applyAlignment="1" applyProtection="1">
      <alignment vertical="center"/>
    </xf>
    <xf numFmtId="0" fontId="10" fillId="3" borderId="427" xfId="3" applyFont="1" applyFill="1" applyBorder="1" applyAlignment="1" applyProtection="1">
      <alignment horizontal="center" vertical="center"/>
    </xf>
    <xf numFmtId="0" fontId="50" fillId="2" borderId="428" xfId="3" applyFont="1" applyFill="1" applyBorder="1" applyAlignment="1" applyProtection="1">
      <alignment horizontal="right" vertical="center" shrinkToFit="1"/>
    </xf>
    <xf numFmtId="0" fontId="50" fillId="2" borderId="429" xfId="3" applyFont="1" applyFill="1" applyBorder="1" applyAlignment="1" applyProtection="1">
      <alignment horizontal="right" vertical="center" shrinkToFit="1"/>
    </xf>
    <xf numFmtId="0" fontId="50" fillId="2" borderId="430" xfId="3" applyFont="1" applyFill="1" applyBorder="1" applyAlignment="1" applyProtection="1">
      <alignment horizontal="right" vertical="center" shrinkToFit="1"/>
    </xf>
    <xf numFmtId="176" fontId="10" fillId="2" borderId="194" xfId="1" applyNumberFormat="1" applyFont="1" applyFill="1" applyBorder="1" applyAlignment="1" applyProtection="1">
      <alignment horizontal="center" vertical="center" shrinkToFit="1"/>
    </xf>
    <xf numFmtId="0" fontId="28" fillId="2" borderId="318" xfId="0" applyFont="1" applyFill="1" applyBorder="1" applyAlignment="1" applyProtection="1">
      <alignment horizontal="center" vertical="center" shrinkToFit="1"/>
    </xf>
    <xf numFmtId="0" fontId="28" fillId="2" borderId="352" xfId="0" applyFont="1" applyFill="1" applyBorder="1" applyAlignment="1" applyProtection="1">
      <alignment horizontal="center" vertical="center" shrinkToFit="1"/>
    </xf>
    <xf numFmtId="0" fontId="28" fillId="2" borderId="356" xfId="0" applyFont="1" applyFill="1" applyBorder="1" applyAlignment="1" applyProtection="1">
      <alignment horizontal="center" vertical="center" shrinkToFit="1"/>
    </xf>
    <xf numFmtId="198" fontId="28" fillId="2" borderId="406" xfId="0" applyNumberFormat="1" applyFont="1" applyFill="1" applyBorder="1" applyAlignment="1" applyProtection="1">
      <alignment horizontal="right" vertical="center" shrinkToFit="1"/>
    </xf>
    <xf numFmtId="198" fontId="28" fillId="2" borderId="151" xfId="0" applyNumberFormat="1" applyFont="1" applyFill="1" applyBorder="1" applyAlignment="1" applyProtection="1">
      <alignment horizontal="right" vertical="center" shrinkToFit="1"/>
    </xf>
    <xf numFmtId="198" fontId="28" fillId="2" borderId="407" xfId="0" applyNumberFormat="1" applyFont="1" applyFill="1" applyBorder="1" applyAlignment="1" applyProtection="1">
      <alignment horizontal="right" vertical="center" shrinkToFit="1"/>
    </xf>
    <xf numFmtId="198" fontId="28" fillId="2" borderId="309" xfId="4" applyNumberFormat="1" applyFont="1" applyFill="1" applyBorder="1" applyAlignment="1" applyProtection="1">
      <alignment vertical="center" shrinkToFit="1"/>
    </xf>
    <xf numFmtId="198" fontId="28" fillId="2" borderId="253" xfId="4" applyNumberFormat="1" applyFont="1" applyFill="1" applyBorder="1" applyAlignment="1" applyProtection="1">
      <alignment vertical="center" shrinkToFit="1"/>
    </xf>
    <xf numFmtId="198" fontId="28" fillId="2" borderId="375" xfId="4" applyNumberFormat="1" applyFont="1" applyFill="1" applyBorder="1" applyAlignment="1" applyProtection="1">
      <alignment vertical="center" shrinkToFit="1"/>
    </xf>
    <xf numFmtId="198" fontId="28" fillId="2" borderId="145" xfId="4" applyNumberFormat="1" applyFont="1" applyFill="1" applyBorder="1" applyAlignment="1" applyProtection="1">
      <alignment horizontal="right" vertical="center" shrinkToFit="1"/>
    </xf>
    <xf numFmtId="198" fontId="10" fillId="2" borderId="408" xfId="1" applyNumberFormat="1" applyFont="1" applyFill="1" applyBorder="1" applyAlignment="1" applyProtection="1">
      <alignment horizontal="right" vertical="center" shrinkToFit="1"/>
    </xf>
    <xf numFmtId="198" fontId="10" fillId="2" borderId="257" xfId="1" applyNumberFormat="1" applyFont="1" applyFill="1" applyBorder="1" applyAlignment="1" applyProtection="1">
      <alignment horizontal="right" vertical="center" shrinkToFit="1"/>
    </xf>
    <xf numFmtId="198" fontId="28" fillId="2" borderId="145" xfId="0" applyNumberFormat="1" applyFont="1" applyFill="1" applyBorder="1" applyAlignment="1" applyProtection="1">
      <alignment horizontal="right" vertical="center" shrinkToFit="1"/>
    </xf>
    <xf numFmtId="0" fontId="36" fillId="2" borderId="10" xfId="0" applyFont="1" applyFill="1" applyBorder="1" applyAlignment="1" applyProtection="1">
      <alignment vertical="center"/>
    </xf>
    <xf numFmtId="0" fontId="35" fillId="2" borderId="10" xfId="0" applyFont="1" applyFill="1" applyBorder="1" applyAlignment="1" applyProtection="1">
      <alignment horizontal="left" vertical="center" shrinkToFit="1"/>
    </xf>
    <xf numFmtId="176" fontId="10" fillId="2" borderId="19" xfId="1" applyNumberFormat="1" applyFont="1" applyFill="1" applyBorder="1" applyAlignment="1" applyProtection="1">
      <alignment horizontal="center" vertical="center" shrinkToFit="1"/>
    </xf>
    <xf numFmtId="0" fontId="29" fillId="2" borderId="10" xfId="0" applyFont="1" applyFill="1" applyBorder="1" applyAlignment="1" applyProtection="1">
      <alignment vertical="center"/>
    </xf>
    <xf numFmtId="176" fontId="10" fillId="2" borderId="181" xfId="1" applyNumberFormat="1" applyFont="1" applyFill="1" applyBorder="1" applyAlignment="1" applyProtection="1">
      <alignment horizontal="center" vertical="center" shrinkToFit="1"/>
    </xf>
    <xf numFmtId="212" fontId="28" fillId="2" borderId="184" xfId="0" applyNumberFormat="1" applyFont="1" applyFill="1" applyBorder="1" applyAlignment="1" applyProtection="1">
      <alignment vertical="center" shrinkToFit="1"/>
    </xf>
    <xf numFmtId="212" fontId="28" fillId="2" borderId="181" xfId="0" applyNumberFormat="1" applyFont="1" applyFill="1" applyBorder="1" applyAlignment="1" applyProtection="1">
      <alignment horizontal="right" vertical="center" shrinkToFit="1"/>
    </xf>
    <xf numFmtId="0" fontId="47" fillId="2" borderId="4" xfId="0" applyFont="1" applyFill="1" applyBorder="1" applyAlignment="1" applyProtection="1">
      <alignment horizontal="center" vertical="center"/>
    </xf>
    <xf numFmtId="0" fontId="28" fillId="2" borderId="169" xfId="0" applyFont="1" applyFill="1" applyBorder="1" applyAlignment="1" applyProtection="1">
      <alignment horizontal="center" vertical="center"/>
    </xf>
    <xf numFmtId="0" fontId="47" fillId="2" borderId="8" xfId="0" applyFont="1" applyFill="1" applyBorder="1" applyAlignment="1" applyProtection="1">
      <alignment horizontal="center" vertical="center"/>
    </xf>
    <xf numFmtId="0" fontId="28" fillId="2" borderId="169" xfId="0" applyFont="1" applyFill="1" applyBorder="1" applyProtection="1">
      <alignment vertical="center"/>
    </xf>
    <xf numFmtId="0" fontId="28" fillId="2" borderId="170" xfId="0" applyFont="1" applyFill="1" applyBorder="1" applyProtection="1">
      <alignment vertical="center"/>
    </xf>
    <xf numFmtId="0" fontId="28" fillId="2" borderId="171" xfId="0" applyFont="1" applyFill="1" applyBorder="1" applyProtection="1">
      <alignment vertical="center"/>
    </xf>
    <xf numFmtId="0" fontId="28" fillId="2" borderId="251" xfId="0" applyFont="1" applyFill="1" applyBorder="1" applyAlignment="1" applyProtection="1">
      <alignment horizontal="center" vertical="center" shrinkToFit="1"/>
    </xf>
    <xf numFmtId="212" fontId="28" fillId="2" borderId="181" xfId="0" applyNumberFormat="1" applyFont="1" applyFill="1" applyBorder="1" applyAlignment="1" applyProtection="1">
      <alignment horizontal="right" vertical="center"/>
    </xf>
    <xf numFmtId="212" fontId="10" fillId="2" borderId="5" xfId="1" applyNumberFormat="1" applyFont="1" applyFill="1" applyBorder="1" applyAlignment="1" applyProtection="1">
      <alignment horizontal="right" vertical="center" shrinkToFit="1"/>
    </xf>
    <xf numFmtId="212" fontId="28" fillId="2" borderId="54" xfId="0" applyNumberFormat="1" applyFont="1" applyFill="1" applyBorder="1" applyAlignment="1" applyProtection="1">
      <alignment horizontal="right" vertical="center" shrinkToFit="1"/>
    </xf>
    <xf numFmtId="176" fontId="10" fillId="2" borderId="4" xfId="1" applyNumberFormat="1" applyFont="1" applyFill="1" applyBorder="1" applyAlignment="1" applyProtection="1">
      <alignment horizontal="center" vertical="center" shrinkToFit="1"/>
    </xf>
    <xf numFmtId="0" fontId="10" fillId="0" borderId="31" xfId="0" applyFont="1" applyFill="1" applyBorder="1" applyAlignment="1" applyProtection="1">
      <alignment horizontal="center" vertical="center"/>
    </xf>
    <xf numFmtId="0" fontId="64" fillId="3" borderId="113" xfId="0" applyFont="1" applyFill="1" applyBorder="1" applyAlignment="1" applyProtection="1">
      <alignment horizontal="center" vertical="center" shrinkToFit="1"/>
    </xf>
    <xf numFmtId="0" fontId="10" fillId="2" borderId="291" xfId="1" applyFont="1" applyFill="1" applyBorder="1" applyAlignment="1" applyProtection="1">
      <alignment horizontal="center" vertical="center" shrinkToFit="1"/>
    </xf>
    <xf numFmtId="0" fontId="10" fillId="2" borderId="205" xfId="1" applyFont="1" applyFill="1" applyBorder="1" applyAlignment="1" applyProtection="1">
      <alignment horizontal="center" vertical="center" shrinkToFit="1"/>
    </xf>
    <xf numFmtId="0" fontId="10" fillId="2" borderId="156" xfId="1" applyFont="1" applyFill="1" applyBorder="1" applyAlignment="1" applyProtection="1">
      <alignment horizontal="center" vertical="center" shrinkToFit="1"/>
    </xf>
    <xf numFmtId="2" fontId="10" fillId="2" borderId="156" xfId="1" applyNumberFormat="1" applyFont="1" applyFill="1" applyBorder="1" applyAlignment="1" applyProtection="1">
      <alignment horizontal="right" vertical="center" shrinkToFit="1"/>
    </xf>
    <xf numFmtId="0" fontId="10" fillId="2" borderId="354" xfId="1" applyFont="1" applyFill="1" applyBorder="1" applyAlignment="1" applyProtection="1">
      <alignment horizontal="center" vertical="center" shrinkToFit="1"/>
    </xf>
    <xf numFmtId="0" fontId="45" fillId="2" borderId="0" xfId="0" applyFont="1" applyFill="1" applyBorder="1" applyAlignment="1" applyProtection="1">
      <alignment horizontal="center" vertical="center" shrinkToFit="1"/>
    </xf>
    <xf numFmtId="2" fontId="10" fillId="2" borderId="289" xfId="1" applyNumberFormat="1" applyFont="1" applyFill="1" applyBorder="1" applyAlignment="1" applyProtection="1">
      <alignment horizontal="right" vertical="center" shrinkToFit="1"/>
    </xf>
    <xf numFmtId="2" fontId="10" fillId="2" borderId="289" xfId="4" applyNumberFormat="1" applyFont="1" applyFill="1" applyBorder="1" applyAlignment="1" applyProtection="1">
      <alignment horizontal="right" vertical="center" shrinkToFit="1"/>
    </xf>
    <xf numFmtId="210" fontId="10" fillId="2" borderId="289" xfId="1" applyNumberFormat="1" applyFont="1" applyFill="1" applyBorder="1" applyAlignment="1" applyProtection="1">
      <alignment horizontal="center" vertical="center" shrinkToFit="1"/>
    </xf>
    <xf numFmtId="38" fontId="29" fillId="0" borderId="18" xfId="0" applyNumberFormat="1" applyFont="1" applyFill="1" applyBorder="1" applyAlignment="1" applyProtection="1">
      <alignment horizontal="center" vertical="center" shrinkToFit="1"/>
    </xf>
    <xf numFmtId="0" fontId="28" fillId="2" borderId="437" xfId="0" applyFont="1" applyFill="1" applyBorder="1" applyAlignment="1" applyProtection="1">
      <alignment horizontal="center" vertical="center" shrinkToFit="1"/>
    </xf>
    <xf numFmtId="0" fontId="28" fillId="2" borderId="439" xfId="0" applyFont="1" applyFill="1" applyBorder="1" applyAlignment="1" applyProtection="1">
      <alignment horizontal="center" vertical="center" shrinkToFit="1"/>
    </xf>
    <xf numFmtId="0" fontId="28" fillId="2" borderId="440" xfId="0" applyFont="1" applyFill="1" applyBorder="1" applyAlignment="1" applyProtection="1">
      <alignment horizontal="center" vertical="center" shrinkToFit="1"/>
    </xf>
    <xf numFmtId="0" fontId="47" fillId="2" borderId="441" xfId="0" applyFont="1" applyFill="1" applyBorder="1" applyAlignment="1" applyProtection="1">
      <alignment horizontal="center" vertical="center" shrinkToFit="1"/>
    </xf>
    <xf numFmtId="0" fontId="47" fillId="2" borderId="442" xfId="0" applyFont="1" applyFill="1" applyBorder="1" applyAlignment="1" applyProtection="1">
      <alignment horizontal="center" vertical="center" shrinkToFit="1"/>
    </xf>
    <xf numFmtId="0" fontId="47" fillId="2" borderId="443" xfId="0" applyFont="1" applyFill="1" applyBorder="1" applyAlignment="1" applyProtection="1">
      <alignment horizontal="center" vertical="center" shrinkToFit="1"/>
    </xf>
    <xf numFmtId="0" fontId="47" fillId="2" borderId="444" xfId="0" applyFont="1" applyFill="1" applyBorder="1" applyAlignment="1" applyProtection="1">
      <alignment horizontal="center" vertical="center" shrinkToFit="1"/>
    </xf>
    <xf numFmtId="0" fontId="47" fillId="2" borderId="320" xfId="0" applyFont="1" applyFill="1" applyBorder="1" applyAlignment="1" applyProtection="1">
      <alignment horizontal="center" vertical="center" shrinkToFit="1"/>
    </xf>
    <xf numFmtId="2" fontId="28" fillId="2" borderId="133" xfId="0" applyNumberFormat="1" applyFont="1" applyFill="1" applyBorder="1" applyAlignment="1" applyProtection="1">
      <alignment horizontal="center" vertical="center" shrinkToFit="1"/>
    </xf>
    <xf numFmtId="0" fontId="28" fillId="2" borderId="303" xfId="0" applyFont="1" applyFill="1" applyBorder="1" applyAlignment="1" applyProtection="1">
      <alignment horizontal="center" vertical="center" shrinkToFit="1"/>
    </xf>
    <xf numFmtId="0" fontId="28" fillId="2" borderId="347" xfId="0" applyFont="1" applyFill="1" applyBorder="1" applyAlignment="1" applyProtection="1">
      <alignment horizontal="center" vertical="center" shrinkToFit="1"/>
    </xf>
    <xf numFmtId="0" fontId="28" fillId="2" borderId="390" xfId="0" applyFont="1" applyFill="1" applyBorder="1" applyAlignment="1" applyProtection="1">
      <alignment horizontal="center" vertical="center" shrinkToFit="1"/>
    </xf>
    <xf numFmtId="0" fontId="28" fillId="2" borderId="156" xfId="0" applyFont="1" applyFill="1" applyBorder="1" applyAlignment="1" applyProtection="1">
      <alignment horizontal="center" vertical="center" shrinkToFit="1"/>
    </xf>
    <xf numFmtId="0" fontId="28" fillId="2" borderId="275" xfId="0" applyFont="1" applyFill="1" applyBorder="1" applyAlignment="1" applyProtection="1">
      <alignment horizontal="center" vertical="center" shrinkToFit="1"/>
    </xf>
    <xf numFmtId="0" fontId="10" fillId="0" borderId="16" xfId="0" applyFont="1" applyBorder="1" applyAlignment="1" applyProtection="1">
      <alignment vertical="center"/>
    </xf>
    <xf numFmtId="2" fontId="0" fillId="0" borderId="4" xfId="0" applyNumberFormat="1" applyBorder="1" applyAlignment="1" applyProtection="1">
      <alignment horizontal="center" vertical="center"/>
    </xf>
    <xf numFmtId="2" fontId="0" fillId="0" borderId="6" xfId="0" applyNumberFormat="1" applyBorder="1" applyAlignment="1" applyProtection="1">
      <alignment horizontal="center" vertical="center"/>
    </xf>
    <xf numFmtId="2" fontId="0" fillId="0" borderId="24" xfId="0" applyNumberFormat="1" applyBorder="1" applyProtection="1">
      <alignment vertical="center"/>
    </xf>
    <xf numFmtId="0" fontId="14" fillId="2" borderId="40" xfId="0" applyFont="1" applyFill="1" applyBorder="1" applyAlignment="1" applyProtection="1">
      <alignment vertical="center"/>
    </xf>
    <xf numFmtId="0" fontId="10" fillId="2" borderId="41" xfId="0" applyFont="1" applyFill="1" applyBorder="1" applyAlignment="1" applyProtection="1">
      <alignment vertical="center"/>
    </xf>
    <xf numFmtId="0" fontId="13" fillId="2" borderId="41" xfId="0" applyFont="1" applyFill="1" applyBorder="1" applyAlignment="1" applyProtection="1">
      <alignment vertical="center"/>
    </xf>
    <xf numFmtId="0" fontId="10" fillId="3" borderId="103" xfId="3" applyFont="1" applyFill="1" applyBorder="1" applyAlignment="1" applyProtection="1">
      <alignment horizontal="center" vertical="center"/>
    </xf>
    <xf numFmtId="0" fontId="10" fillId="3" borderId="341" xfId="3" applyFont="1" applyFill="1" applyBorder="1" applyAlignment="1" applyProtection="1">
      <alignment horizontal="center" vertical="center"/>
    </xf>
    <xf numFmtId="0" fontId="50" fillId="2" borderId="345" xfId="3" applyFont="1" applyFill="1" applyBorder="1" applyAlignment="1" applyProtection="1">
      <alignment horizontal="right" vertical="center" shrinkToFit="1"/>
    </xf>
    <xf numFmtId="0" fontId="50" fillId="2" borderId="176" xfId="3" applyFont="1" applyFill="1" applyBorder="1" applyAlignment="1" applyProtection="1">
      <alignment horizontal="right" vertical="center" shrinkToFit="1"/>
    </xf>
    <xf numFmtId="0" fontId="50" fillId="2" borderId="179" xfId="3" applyFont="1" applyFill="1" applyBorder="1" applyAlignment="1" applyProtection="1">
      <alignment horizontal="right" vertical="center" shrinkToFit="1"/>
    </xf>
    <xf numFmtId="0" fontId="44" fillId="2" borderId="446" xfId="0" applyFont="1" applyFill="1" applyBorder="1" applyAlignment="1" applyProtection="1">
      <alignment vertical="center"/>
    </xf>
    <xf numFmtId="0" fontId="44" fillId="2" borderId="317" xfId="0" applyFont="1" applyFill="1" applyBorder="1" applyAlignment="1" applyProtection="1">
      <alignment vertical="center"/>
    </xf>
    <xf numFmtId="0" fontId="44" fillId="2" borderId="320" xfId="0" applyFont="1" applyFill="1" applyBorder="1" applyAlignment="1" applyProtection="1">
      <alignment vertical="center"/>
    </xf>
    <xf numFmtId="0" fontId="50" fillId="2" borderId="192" xfId="3" applyFont="1" applyFill="1" applyBorder="1" applyAlignment="1" applyProtection="1">
      <alignment vertical="center" shrinkToFit="1"/>
    </xf>
    <xf numFmtId="0" fontId="50" fillId="2" borderId="175" xfId="3" applyFont="1" applyFill="1" applyBorder="1" applyAlignment="1" applyProtection="1">
      <alignment vertical="center" shrinkToFit="1"/>
    </xf>
    <xf numFmtId="0" fontId="50" fillId="2" borderId="178" xfId="3" applyFont="1" applyFill="1" applyBorder="1" applyAlignment="1" applyProtection="1">
      <alignment vertical="center" shrinkToFit="1"/>
    </xf>
    <xf numFmtId="0" fontId="39" fillId="3" borderId="235" xfId="3" applyFont="1" applyFill="1" applyBorder="1" applyAlignment="1" applyProtection="1">
      <alignment vertical="center" shrinkToFit="1"/>
    </xf>
    <xf numFmtId="206" fontId="39" fillId="3" borderId="241" xfId="3" applyNumberFormat="1" applyFont="1" applyFill="1" applyBorder="1" applyAlignment="1" applyProtection="1">
      <alignment vertical="center" wrapText="1" shrinkToFit="1"/>
    </xf>
    <xf numFmtId="0" fontId="28" fillId="2" borderId="21" xfId="0" applyFont="1" applyFill="1" applyBorder="1" applyAlignment="1" applyProtection="1">
      <alignment vertical="center"/>
    </xf>
    <xf numFmtId="0" fontId="28" fillId="2" borderId="35" xfId="0" applyFont="1" applyFill="1" applyBorder="1" applyAlignment="1" applyProtection="1">
      <alignment horizontal="center" vertical="center" shrinkToFit="1"/>
    </xf>
    <xf numFmtId="0" fontId="47" fillId="2" borderId="16" xfId="0" applyFont="1" applyFill="1" applyBorder="1" applyAlignment="1" applyProtection="1">
      <alignment horizontal="center" vertical="center" shrinkToFit="1"/>
    </xf>
    <xf numFmtId="0" fontId="28" fillId="2" borderId="451" xfId="0" applyFont="1" applyFill="1" applyBorder="1" applyAlignment="1" applyProtection="1">
      <alignment horizontal="center" vertical="center" shrinkToFit="1"/>
    </xf>
    <xf numFmtId="0" fontId="28" fillId="2" borderId="452" xfId="0" applyFont="1" applyFill="1" applyBorder="1" applyAlignment="1" applyProtection="1">
      <alignment horizontal="center" vertical="center" shrinkToFit="1"/>
    </xf>
    <xf numFmtId="0" fontId="28" fillId="2" borderId="293" xfId="0" applyFont="1" applyFill="1" applyBorder="1" applyAlignment="1" applyProtection="1">
      <alignment horizontal="center" vertical="center" shrinkToFit="1"/>
    </xf>
    <xf numFmtId="0" fontId="28" fillId="2" borderId="89" xfId="0" applyFont="1" applyFill="1" applyBorder="1" applyAlignment="1" applyProtection="1">
      <alignment horizontal="center" vertical="center" shrinkToFit="1"/>
    </xf>
    <xf numFmtId="0" fontId="28" fillId="2" borderId="291" xfId="0" applyFont="1" applyFill="1" applyBorder="1" applyAlignment="1" applyProtection="1">
      <alignment horizontal="center" vertical="center" shrinkToFit="1"/>
    </xf>
    <xf numFmtId="0" fontId="28" fillId="2" borderId="216" xfId="0" applyFont="1" applyFill="1" applyBorder="1" applyAlignment="1" applyProtection="1">
      <alignment horizontal="center" vertical="center" shrinkToFit="1"/>
    </xf>
    <xf numFmtId="0" fontId="28" fillId="2" borderId="132" xfId="0" applyFont="1" applyFill="1" applyBorder="1" applyAlignment="1" applyProtection="1">
      <alignment horizontal="center" vertical="center" shrinkToFit="1"/>
    </xf>
    <xf numFmtId="0" fontId="28" fillId="2" borderId="60" xfId="0" applyFont="1" applyFill="1" applyBorder="1" applyAlignment="1" applyProtection="1">
      <alignment horizontal="center" vertical="center" shrinkToFit="1"/>
    </xf>
    <xf numFmtId="0" fontId="28" fillId="2" borderId="262" xfId="0" applyNumberFormat="1" applyFont="1" applyFill="1" applyBorder="1" applyAlignment="1" applyProtection="1">
      <alignment horizontal="center" vertical="center" shrinkToFit="1"/>
    </xf>
    <xf numFmtId="0" fontId="28" fillId="2" borderId="237" xfId="0" applyNumberFormat="1" applyFont="1" applyFill="1" applyBorder="1" applyAlignment="1" applyProtection="1">
      <alignment horizontal="center" vertical="center" shrinkToFit="1"/>
    </xf>
    <xf numFmtId="0" fontId="28" fillId="2" borderId="453" xfId="0" applyNumberFormat="1" applyFont="1" applyFill="1" applyBorder="1" applyAlignment="1" applyProtection="1">
      <alignment horizontal="center" vertical="center" shrinkToFit="1"/>
    </xf>
    <xf numFmtId="0" fontId="28" fillId="2" borderId="150" xfId="0" applyNumberFormat="1" applyFont="1" applyFill="1" applyBorder="1" applyAlignment="1" applyProtection="1">
      <alignment horizontal="center" vertical="center" shrinkToFit="1"/>
    </xf>
    <xf numFmtId="0" fontId="28" fillId="2" borderId="454" xfId="0" applyNumberFormat="1" applyFont="1" applyFill="1" applyBorder="1" applyAlignment="1" applyProtection="1">
      <alignment horizontal="center" vertical="center" shrinkToFit="1"/>
    </xf>
    <xf numFmtId="0" fontId="28" fillId="2" borderId="409" xfId="0" applyNumberFormat="1" applyFont="1" applyFill="1" applyBorder="1" applyAlignment="1" applyProtection="1">
      <alignment horizontal="center" vertical="center" shrinkToFit="1"/>
    </xf>
    <xf numFmtId="0" fontId="28" fillId="2" borderId="305" xfId="0" applyNumberFormat="1" applyFont="1" applyFill="1" applyBorder="1" applyAlignment="1" applyProtection="1">
      <alignment horizontal="center" vertical="center" shrinkToFit="1"/>
    </xf>
    <xf numFmtId="0" fontId="28" fillId="2" borderId="455" xfId="0" applyNumberFormat="1" applyFont="1" applyFill="1" applyBorder="1" applyAlignment="1" applyProtection="1">
      <alignment horizontal="center" vertical="center" shrinkToFit="1"/>
    </xf>
    <xf numFmtId="0" fontId="28" fillId="2" borderId="308" xfId="0" applyNumberFormat="1" applyFont="1" applyFill="1" applyBorder="1" applyAlignment="1" applyProtection="1">
      <alignment horizontal="center" vertical="center" shrinkToFit="1"/>
    </xf>
    <xf numFmtId="0" fontId="28" fillId="2" borderId="221" xfId="0" applyNumberFormat="1" applyFont="1" applyFill="1" applyBorder="1" applyAlignment="1" applyProtection="1">
      <alignment horizontal="center" vertical="center" shrinkToFit="1"/>
    </xf>
    <xf numFmtId="0" fontId="28" fillId="3" borderId="456" xfId="0" applyFont="1" applyFill="1" applyBorder="1" applyAlignment="1" applyProtection="1">
      <alignment horizontal="center" vertical="center" shrinkToFit="1"/>
    </xf>
    <xf numFmtId="0" fontId="28" fillId="2" borderId="457" xfId="0" applyFont="1" applyFill="1" applyBorder="1" applyAlignment="1" applyProtection="1">
      <alignment horizontal="center" vertical="center" shrinkToFit="1"/>
    </xf>
    <xf numFmtId="2" fontId="28" fillId="2" borderId="12" xfId="0" applyNumberFormat="1" applyFont="1" applyFill="1" applyBorder="1" applyAlignment="1" applyProtection="1">
      <alignment horizontal="center" vertical="center" shrinkToFit="1"/>
    </xf>
    <xf numFmtId="0" fontId="28" fillId="2" borderId="394" xfId="0" applyFont="1" applyFill="1" applyBorder="1" applyAlignment="1" applyProtection="1">
      <alignment horizontal="center" vertical="center" shrinkToFit="1"/>
    </xf>
    <xf numFmtId="0" fontId="28" fillId="2" borderId="395" xfId="0" applyFont="1" applyFill="1" applyBorder="1" applyAlignment="1" applyProtection="1">
      <alignment horizontal="center" vertical="center" shrinkToFit="1"/>
    </xf>
    <xf numFmtId="2" fontId="28" fillId="2" borderId="128" xfId="0" applyNumberFormat="1" applyFont="1" applyFill="1" applyBorder="1" applyAlignment="1" applyProtection="1">
      <alignment horizontal="center" vertical="center" shrinkToFit="1"/>
    </xf>
    <xf numFmtId="2" fontId="28" fillId="2" borderId="15" xfId="0" applyNumberFormat="1" applyFont="1" applyFill="1" applyBorder="1" applyAlignment="1" applyProtection="1">
      <alignment horizontal="center" vertical="center" shrinkToFit="1"/>
    </xf>
    <xf numFmtId="2" fontId="28" fillId="2" borderId="405" xfId="0" applyNumberFormat="1" applyFont="1" applyFill="1" applyBorder="1" applyAlignment="1" applyProtection="1">
      <alignment horizontal="center" vertical="center" shrinkToFit="1"/>
    </xf>
    <xf numFmtId="2" fontId="28" fillId="2" borderId="278" xfId="0" applyNumberFormat="1" applyFont="1" applyFill="1" applyBorder="1" applyAlignment="1" applyProtection="1">
      <alignment horizontal="center" vertical="center" shrinkToFit="1"/>
    </xf>
    <xf numFmtId="2" fontId="28" fillId="2" borderId="368" xfId="0" applyNumberFormat="1" applyFont="1" applyFill="1" applyBorder="1" applyAlignment="1" applyProtection="1">
      <alignment horizontal="center" vertical="center" shrinkToFit="1"/>
    </xf>
    <xf numFmtId="2" fontId="28" fillId="2" borderId="184" xfId="0" applyNumberFormat="1" applyFont="1" applyFill="1" applyBorder="1" applyAlignment="1" applyProtection="1">
      <alignment horizontal="center" vertical="center" shrinkToFit="1"/>
    </xf>
    <xf numFmtId="0" fontId="28" fillId="2" borderId="405" xfId="0" applyFont="1" applyFill="1" applyBorder="1" applyAlignment="1" applyProtection="1">
      <alignment horizontal="center" vertical="center" shrinkToFit="1"/>
    </xf>
    <xf numFmtId="0" fontId="28" fillId="2" borderId="458" xfId="0" applyFont="1" applyFill="1" applyBorder="1" applyAlignment="1" applyProtection="1">
      <alignment horizontal="center" vertical="center" shrinkToFit="1"/>
    </xf>
    <xf numFmtId="2" fontId="28" fillId="2" borderId="276" xfId="0" applyNumberFormat="1" applyFont="1" applyFill="1" applyBorder="1" applyAlignment="1" applyProtection="1">
      <alignment horizontal="center" vertical="center" shrinkToFit="1"/>
    </xf>
    <xf numFmtId="2" fontId="28" fillId="2" borderId="16" xfId="0" applyNumberFormat="1" applyFont="1" applyFill="1" applyBorder="1" applyAlignment="1" applyProtection="1">
      <alignment horizontal="center" vertical="center" shrinkToFit="1"/>
    </xf>
    <xf numFmtId="2" fontId="28" fillId="2" borderId="395" xfId="0" applyNumberFormat="1" applyFont="1" applyFill="1" applyBorder="1" applyAlignment="1" applyProtection="1">
      <alignment horizontal="center" vertical="center" shrinkToFit="1"/>
    </xf>
    <xf numFmtId="0" fontId="28" fillId="2" borderId="416" xfId="0" applyFont="1" applyFill="1" applyBorder="1" applyAlignment="1" applyProtection="1">
      <alignment horizontal="center" vertical="center" shrinkToFit="1"/>
    </xf>
    <xf numFmtId="0" fontId="28" fillId="2" borderId="128" xfId="0" applyFont="1" applyFill="1" applyBorder="1" applyAlignment="1" applyProtection="1">
      <alignment horizontal="center" vertical="center" shrinkToFit="1"/>
    </xf>
    <xf numFmtId="0" fontId="28" fillId="2" borderId="372" xfId="0" applyFont="1" applyFill="1" applyBorder="1" applyAlignment="1" applyProtection="1">
      <alignment horizontal="center" vertical="center" shrinkToFit="1"/>
    </xf>
    <xf numFmtId="2" fontId="28" fillId="2" borderId="459" xfId="0" applyNumberFormat="1" applyFont="1" applyFill="1" applyBorder="1" applyAlignment="1" applyProtection="1">
      <alignment horizontal="center" vertical="center" shrinkToFit="1"/>
    </xf>
    <xf numFmtId="0" fontId="28" fillId="2" borderId="267" xfId="0" applyNumberFormat="1" applyFont="1" applyFill="1" applyBorder="1" applyAlignment="1" applyProtection="1">
      <alignment horizontal="center" vertical="center" shrinkToFit="1"/>
    </xf>
    <xf numFmtId="0" fontId="28" fillId="2" borderId="148" xfId="0" applyNumberFormat="1" applyFont="1" applyFill="1" applyBorder="1" applyAlignment="1" applyProtection="1">
      <alignment horizontal="center" vertical="center" shrinkToFit="1"/>
    </xf>
    <xf numFmtId="0" fontId="28" fillId="2" borderId="462" xfId="0" applyNumberFormat="1" applyFont="1" applyFill="1" applyBorder="1" applyAlignment="1" applyProtection="1">
      <alignment horizontal="center" vertical="center" shrinkToFit="1"/>
    </xf>
    <xf numFmtId="0" fontId="28" fillId="2" borderId="258" xfId="0" applyNumberFormat="1" applyFont="1" applyFill="1" applyBorder="1" applyAlignment="1" applyProtection="1">
      <alignment horizontal="center" vertical="center" shrinkToFit="1"/>
    </xf>
    <xf numFmtId="0" fontId="28" fillId="3" borderId="222" xfId="0" applyFont="1" applyFill="1" applyBorder="1" applyAlignment="1" applyProtection="1">
      <alignment horizontal="center" vertical="center" shrinkToFit="1"/>
    </xf>
    <xf numFmtId="0" fontId="28" fillId="2" borderId="81" xfId="0" applyFont="1" applyFill="1" applyBorder="1" applyAlignment="1" applyProtection="1">
      <alignment horizontal="center" vertical="center" shrinkToFit="1"/>
    </xf>
    <xf numFmtId="0" fontId="28" fillId="2" borderId="474" xfId="0" applyFont="1" applyFill="1" applyBorder="1" applyAlignment="1" applyProtection="1">
      <alignment horizontal="center" vertical="center" shrinkToFit="1"/>
    </xf>
    <xf numFmtId="0" fontId="10" fillId="2" borderId="474" xfId="0" applyFont="1" applyFill="1" applyBorder="1" applyAlignment="1" applyProtection="1">
      <alignment horizontal="center" vertical="center" shrinkToFit="1"/>
    </xf>
    <xf numFmtId="0" fontId="10" fillId="2" borderId="80" xfId="0" applyFont="1" applyFill="1" applyBorder="1" applyAlignment="1" applyProtection="1">
      <alignment horizontal="center" vertical="center" shrinkToFit="1"/>
    </xf>
    <xf numFmtId="212" fontId="10" fillId="4" borderId="357" xfId="1" applyNumberFormat="1" applyFont="1" applyFill="1" applyBorder="1" applyAlignment="1" applyProtection="1">
      <alignment horizontal="right" vertical="center" shrinkToFit="1"/>
      <protection locked="0"/>
    </xf>
    <xf numFmtId="212" fontId="10" fillId="4" borderId="475" xfId="1" applyNumberFormat="1" applyFont="1" applyFill="1" applyBorder="1" applyAlignment="1" applyProtection="1">
      <alignment horizontal="right" vertical="center" shrinkToFit="1"/>
      <protection locked="0"/>
    </xf>
    <xf numFmtId="212" fontId="10" fillId="2" borderId="475" xfId="1" applyNumberFormat="1" applyFont="1" applyFill="1" applyBorder="1" applyAlignment="1" applyProtection="1">
      <alignment horizontal="right" vertical="center" shrinkToFit="1"/>
    </xf>
    <xf numFmtId="212" fontId="10" fillId="4" borderId="351" xfId="1" applyNumberFormat="1" applyFont="1" applyFill="1" applyBorder="1" applyAlignment="1" applyProtection="1">
      <alignment horizontal="right" vertical="center" shrinkToFit="1"/>
      <protection locked="0"/>
    </xf>
    <xf numFmtId="212" fontId="10" fillId="4" borderId="396" xfId="1" applyNumberFormat="1" applyFont="1" applyFill="1" applyBorder="1" applyAlignment="1" applyProtection="1">
      <alignment horizontal="right" vertical="center" shrinkToFit="1"/>
      <protection locked="0"/>
    </xf>
    <xf numFmtId="212" fontId="10" fillId="2" borderId="396" xfId="1" applyNumberFormat="1" applyFont="1" applyFill="1" applyBorder="1" applyAlignment="1" applyProtection="1">
      <alignment horizontal="right" vertical="center" shrinkToFit="1"/>
    </xf>
    <xf numFmtId="212" fontId="10" fillId="4" borderId="312" xfId="1" applyNumberFormat="1" applyFont="1" applyFill="1" applyBorder="1" applyAlignment="1" applyProtection="1">
      <alignment horizontal="right" vertical="center" shrinkToFit="1"/>
      <protection locked="0"/>
    </xf>
    <xf numFmtId="212" fontId="10" fillId="4" borderId="313" xfId="1" applyNumberFormat="1" applyFont="1" applyFill="1" applyBorder="1" applyAlignment="1" applyProtection="1">
      <alignment horizontal="right" vertical="center" shrinkToFit="1"/>
      <protection locked="0"/>
    </xf>
    <xf numFmtId="212" fontId="10" fillId="2" borderId="313" xfId="1" applyNumberFormat="1" applyFont="1" applyFill="1" applyBorder="1" applyAlignment="1" applyProtection="1">
      <alignment horizontal="right" vertical="center" shrinkToFit="1"/>
    </xf>
    <xf numFmtId="212" fontId="10" fillId="2" borderId="81" xfId="1" applyNumberFormat="1" applyFont="1" applyFill="1" applyBorder="1" applyAlignment="1" applyProtection="1">
      <alignment horizontal="right" vertical="center" shrinkToFit="1"/>
    </xf>
    <xf numFmtId="212" fontId="10" fillId="2" borderId="474" xfId="1" applyNumberFormat="1" applyFont="1" applyFill="1" applyBorder="1" applyAlignment="1" applyProtection="1">
      <alignment horizontal="right" vertical="center" shrinkToFit="1"/>
    </xf>
    <xf numFmtId="212" fontId="10" fillId="2" borderId="80" xfId="1" applyNumberFormat="1" applyFont="1" applyFill="1" applyBorder="1" applyAlignment="1" applyProtection="1">
      <alignment horizontal="right" vertical="center" shrinkToFit="1"/>
    </xf>
    <xf numFmtId="212" fontId="10" fillId="2" borderId="357" xfId="1" applyNumberFormat="1" applyFont="1" applyFill="1" applyBorder="1" applyAlignment="1" applyProtection="1">
      <alignment horizontal="right" vertical="center" shrinkToFit="1"/>
    </xf>
    <xf numFmtId="212" fontId="10" fillId="4" borderId="403" xfId="1" applyNumberFormat="1" applyFont="1" applyFill="1" applyBorder="1" applyAlignment="1" applyProtection="1">
      <alignment horizontal="right" vertical="center" shrinkToFit="1"/>
      <protection locked="0"/>
    </xf>
    <xf numFmtId="212" fontId="10" fillId="2" borderId="318" xfId="1" applyNumberFormat="1" applyFont="1" applyFill="1" applyBorder="1" applyAlignment="1" applyProtection="1">
      <alignment horizontal="right" vertical="center" shrinkToFit="1"/>
    </xf>
    <xf numFmtId="212" fontId="10" fillId="2" borderId="319" xfId="1" applyNumberFormat="1" applyFont="1" applyFill="1" applyBorder="1" applyAlignment="1" applyProtection="1">
      <alignment horizontal="right" vertical="center" shrinkToFit="1"/>
    </xf>
    <xf numFmtId="212" fontId="10" fillId="4" borderId="319" xfId="1" applyNumberFormat="1" applyFont="1" applyFill="1" applyBorder="1" applyAlignment="1" applyProtection="1">
      <alignment horizontal="right" vertical="center" shrinkToFit="1"/>
      <protection locked="0"/>
    </xf>
    <xf numFmtId="212" fontId="10" fillId="4" borderId="320" xfId="1" applyNumberFormat="1" applyFont="1" applyFill="1" applyBorder="1" applyAlignment="1" applyProtection="1">
      <alignment horizontal="right" vertical="center" shrinkToFit="1"/>
      <protection locked="0"/>
    </xf>
    <xf numFmtId="212" fontId="10" fillId="2" borderId="312" xfId="1" applyNumberFormat="1" applyFont="1" applyFill="1" applyBorder="1" applyAlignment="1" applyProtection="1">
      <alignment horizontal="right" vertical="center" shrinkToFit="1"/>
    </xf>
    <xf numFmtId="212" fontId="10" fillId="4" borderId="314" xfId="1" applyNumberFormat="1" applyFont="1" applyFill="1" applyBorder="1" applyAlignment="1" applyProtection="1">
      <alignment horizontal="right" vertical="center" shrinkToFit="1"/>
      <protection locked="0"/>
    </xf>
    <xf numFmtId="212" fontId="10" fillId="2" borderId="288" xfId="1" applyNumberFormat="1" applyFont="1" applyFill="1" applyBorder="1" applyAlignment="1" applyProtection="1">
      <alignment horizontal="right" vertical="center" shrinkToFit="1"/>
    </xf>
    <xf numFmtId="212" fontId="10" fillId="2" borderId="272" xfId="1" applyNumberFormat="1" applyFont="1" applyFill="1" applyBorder="1" applyAlignment="1" applyProtection="1">
      <alignment horizontal="right" vertical="center" shrinkToFit="1"/>
    </xf>
    <xf numFmtId="212" fontId="10" fillId="2" borderId="402" xfId="1" applyNumberFormat="1" applyFont="1" applyFill="1" applyBorder="1" applyAlignment="1" applyProtection="1">
      <alignment horizontal="right" vertical="center" shrinkToFit="1"/>
    </xf>
    <xf numFmtId="212" fontId="10" fillId="2" borderId="116" xfId="1" applyNumberFormat="1" applyFont="1" applyFill="1" applyBorder="1" applyAlignment="1" applyProtection="1">
      <alignment horizontal="right" vertical="center" shrinkToFit="1"/>
    </xf>
    <xf numFmtId="212" fontId="10" fillId="2" borderId="311" xfId="1" applyNumberFormat="1" applyFont="1" applyFill="1" applyBorder="1" applyAlignment="1" applyProtection="1">
      <alignment horizontal="right" vertical="center" shrinkToFit="1"/>
    </xf>
    <xf numFmtId="212" fontId="10" fillId="2" borderId="160" xfId="1" applyNumberFormat="1" applyFont="1" applyFill="1" applyBorder="1" applyAlignment="1" applyProtection="1">
      <alignment horizontal="right" vertical="center" shrinkToFit="1"/>
    </xf>
    <xf numFmtId="0" fontId="10" fillId="0" borderId="18" xfId="0" applyFont="1" applyBorder="1" applyAlignment="1" applyProtection="1">
      <alignment vertical="center"/>
    </xf>
    <xf numFmtId="2" fontId="28" fillId="2" borderId="414" xfId="0" applyNumberFormat="1" applyFont="1" applyFill="1" applyBorder="1" applyAlignment="1" applyProtection="1">
      <alignment horizontal="center" vertical="center" shrinkToFit="1"/>
    </xf>
    <xf numFmtId="2" fontId="28" fillId="2" borderId="426" xfId="0" applyNumberFormat="1" applyFont="1" applyFill="1" applyBorder="1" applyAlignment="1" applyProtection="1">
      <alignment horizontal="center" vertical="center" shrinkToFit="1"/>
    </xf>
    <xf numFmtId="2" fontId="28" fillId="2" borderId="416" xfId="0" applyNumberFormat="1" applyFont="1" applyFill="1" applyBorder="1" applyAlignment="1" applyProtection="1">
      <alignment horizontal="center" vertical="center" shrinkToFit="1"/>
    </xf>
    <xf numFmtId="2" fontId="28" fillId="2" borderId="418" xfId="0" applyNumberFormat="1" applyFont="1" applyFill="1" applyBorder="1" applyAlignment="1" applyProtection="1">
      <alignment horizontal="center" vertical="center" shrinkToFit="1"/>
    </xf>
    <xf numFmtId="2" fontId="28" fillId="2" borderId="371" xfId="0" applyNumberFormat="1" applyFont="1" applyFill="1" applyBorder="1" applyAlignment="1" applyProtection="1">
      <alignment horizontal="center" vertical="center" shrinkToFit="1"/>
    </xf>
    <xf numFmtId="0" fontId="10" fillId="2" borderId="0" xfId="0" applyFont="1" applyFill="1" applyBorder="1" applyAlignment="1" applyProtection="1">
      <alignment horizontal="center" vertical="center" wrapText="1"/>
    </xf>
    <xf numFmtId="0" fontId="10" fillId="2" borderId="0" xfId="0" applyFont="1" applyFill="1" applyBorder="1" applyAlignment="1" applyProtection="1">
      <alignment horizontal="left" vertical="center" wrapText="1"/>
    </xf>
    <xf numFmtId="0" fontId="10" fillId="2" borderId="19" xfId="0" applyFont="1" applyFill="1" applyBorder="1" applyAlignment="1" applyProtection="1">
      <alignment horizontal="center" vertical="center"/>
    </xf>
    <xf numFmtId="0" fontId="10" fillId="2" borderId="21" xfId="0" applyFont="1" applyFill="1" applyBorder="1" applyAlignment="1" applyProtection="1">
      <alignment horizontal="center" vertical="center"/>
    </xf>
    <xf numFmtId="0" fontId="10" fillId="2" borderId="17" xfId="0" applyFont="1" applyFill="1" applyBorder="1" applyAlignment="1" applyProtection="1">
      <alignment horizontal="center" vertical="center"/>
    </xf>
    <xf numFmtId="0" fontId="10" fillId="2" borderId="18" xfId="0" applyFont="1" applyFill="1" applyBorder="1" applyAlignment="1" applyProtection="1">
      <alignment horizontal="center" vertical="center"/>
    </xf>
    <xf numFmtId="0" fontId="35" fillId="2" borderId="0" xfId="0" applyFont="1" applyFill="1" applyBorder="1" applyAlignment="1" applyProtection="1">
      <alignment horizontal="left" vertical="center" shrinkToFit="1"/>
    </xf>
    <xf numFmtId="0" fontId="10" fillId="2" borderId="18" xfId="0" applyFont="1" applyFill="1" applyBorder="1" applyAlignment="1" applyProtection="1">
      <alignment horizontal="center" vertical="center" wrapText="1"/>
    </xf>
    <xf numFmtId="0" fontId="27" fillId="0" borderId="6" xfId="0" applyFont="1" applyBorder="1" applyAlignment="1" applyProtection="1">
      <alignment horizontal="center" vertical="center"/>
    </xf>
    <xf numFmtId="0" fontId="10" fillId="0" borderId="4" xfId="0" applyFont="1" applyBorder="1" applyAlignment="1" applyProtection="1">
      <alignment horizontal="center" vertical="center"/>
    </xf>
    <xf numFmtId="0" fontId="10" fillId="0" borderId="62" xfId="0" applyFont="1" applyBorder="1" applyAlignment="1" applyProtection="1">
      <alignment horizontal="center" vertical="center"/>
    </xf>
    <xf numFmtId="0" fontId="10" fillId="2" borderId="0" xfId="0" applyFont="1" applyFill="1" applyBorder="1" applyAlignment="1" applyProtection="1">
      <alignment horizontal="left" vertical="center"/>
    </xf>
    <xf numFmtId="0" fontId="10" fillId="2" borderId="0" xfId="0" applyFont="1" applyFill="1" applyAlignment="1" applyProtection="1">
      <alignment horizontal="left" vertical="center" wrapText="1"/>
    </xf>
    <xf numFmtId="0" fontId="10" fillId="0" borderId="6" xfId="0" applyFont="1" applyBorder="1" applyAlignment="1" applyProtection="1">
      <alignment horizontal="center" vertical="center"/>
    </xf>
    <xf numFmtId="0" fontId="10" fillId="0" borderId="8" xfId="0" applyFont="1" applyBorder="1" applyAlignment="1" applyProtection="1">
      <alignment horizontal="center" vertical="center"/>
    </xf>
    <xf numFmtId="0" fontId="10" fillId="2" borderId="0" xfId="0" applyFont="1" applyFill="1" applyBorder="1" applyAlignment="1" applyProtection="1">
      <alignment horizontal="center" vertical="center"/>
    </xf>
    <xf numFmtId="0" fontId="10" fillId="2" borderId="19" xfId="0" applyFont="1" applyFill="1" applyBorder="1" applyAlignment="1" applyProtection="1">
      <alignment horizontal="center" vertical="center" wrapText="1"/>
    </xf>
    <xf numFmtId="0" fontId="10" fillId="2" borderId="10" xfId="0" applyFont="1" applyFill="1" applyBorder="1" applyAlignment="1" applyProtection="1">
      <alignment horizontal="center" vertical="center"/>
    </xf>
    <xf numFmtId="0" fontId="10" fillId="2" borderId="102" xfId="0" applyFont="1" applyFill="1" applyBorder="1" applyAlignment="1" applyProtection="1">
      <alignment horizontal="center" vertical="center"/>
    </xf>
    <xf numFmtId="0" fontId="10" fillId="2" borderId="32" xfId="0" applyFont="1" applyFill="1" applyBorder="1" applyAlignment="1" applyProtection="1">
      <alignment horizontal="center" vertical="center" shrinkToFit="1"/>
    </xf>
    <xf numFmtId="0" fontId="10" fillId="2" borderId="18" xfId="0" applyFont="1" applyFill="1" applyBorder="1" applyAlignment="1" applyProtection="1">
      <alignment horizontal="center" vertical="center" shrinkToFit="1"/>
    </xf>
    <xf numFmtId="0" fontId="28" fillId="2" borderId="10" xfId="0" applyFont="1" applyFill="1" applyBorder="1" applyAlignment="1" applyProtection="1">
      <alignment horizontal="left" vertical="center"/>
    </xf>
    <xf numFmtId="0" fontId="28" fillId="2" borderId="19" xfId="0" applyFont="1" applyFill="1" applyBorder="1" applyAlignment="1" applyProtection="1">
      <alignment horizontal="center" vertical="center"/>
    </xf>
    <xf numFmtId="0" fontId="28" fillId="2" borderId="32" xfId="0" applyFont="1" applyFill="1" applyBorder="1" applyAlignment="1" applyProtection="1">
      <alignment horizontal="center" vertical="center"/>
    </xf>
    <xf numFmtId="0" fontId="10" fillId="2" borderId="104" xfId="0" applyFont="1" applyFill="1" applyBorder="1" applyAlignment="1" applyProtection="1">
      <alignment horizontal="center" vertical="center" wrapText="1"/>
    </xf>
    <xf numFmtId="0" fontId="10" fillId="6" borderId="89" xfId="0" applyFont="1" applyFill="1" applyBorder="1" applyAlignment="1" applyProtection="1">
      <alignment horizontal="center" vertical="center" shrinkToFit="1"/>
      <protection locked="0"/>
    </xf>
    <xf numFmtId="0" fontId="10" fillId="2" borderId="19" xfId="0" applyFont="1" applyFill="1" applyBorder="1" applyAlignment="1" applyProtection="1">
      <alignment horizontal="center" vertical="center" shrinkToFit="1"/>
    </xf>
    <xf numFmtId="0" fontId="28" fillId="2" borderId="17" xfId="0" applyFont="1" applyFill="1" applyBorder="1" applyAlignment="1" applyProtection="1">
      <alignment horizontal="center" vertical="center"/>
    </xf>
    <xf numFmtId="0" fontId="10" fillId="2" borderId="32" xfId="0" applyFont="1" applyFill="1" applyBorder="1" applyAlignment="1" applyProtection="1">
      <alignment horizontal="left" vertical="center"/>
    </xf>
    <xf numFmtId="0" fontId="10" fillId="2" borderId="0" xfId="0" applyFont="1" applyFill="1" applyAlignment="1" applyProtection="1">
      <alignment horizontal="left" vertical="center"/>
    </xf>
    <xf numFmtId="181" fontId="10" fillId="2" borderId="18" xfId="0" applyNumberFormat="1" applyFont="1" applyFill="1" applyBorder="1" applyAlignment="1" applyProtection="1">
      <alignment horizontal="center" vertical="center" shrinkToFit="1"/>
    </xf>
    <xf numFmtId="181" fontId="10" fillId="2" borderId="14" xfId="0" applyNumberFormat="1" applyFont="1" applyFill="1" applyBorder="1" applyAlignment="1" applyProtection="1">
      <alignment horizontal="center" vertical="center" shrinkToFit="1"/>
    </xf>
    <xf numFmtId="0" fontId="14" fillId="2" borderId="0" xfId="0" applyFont="1" applyFill="1" applyBorder="1" applyAlignment="1" applyProtection="1">
      <alignment horizontal="left" vertical="center"/>
    </xf>
    <xf numFmtId="0" fontId="14" fillId="2" borderId="34" xfId="0" applyFont="1" applyFill="1" applyBorder="1" applyAlignment="1" applyProtection="1">
      <alignment horizontal="left" vertical="center"/>
    </xf>
    <xf numFmtId="0" fontId="10" fillId="2" borderId="17" xfId="0" applyFont="1" applyFill="1" applyBorder="1" applyAlignment="1" applyProtection="1">
      <alignment horizontal="center" vertical="center" wrapText="1"/>
    </xf>
    <xf numFmtId="0" fontId="10" fillId="2" borderId="18" xfId="0" applyFont="1" applyFill="1" applyBorder="1" applyAlignment="1" applyProtection="1">
      <alignment horizontal="left" vertical="center"/>
    </xf>
    <xf numFmtId="0" fontId="28" fillId="2" borderId="4" xfId="0" applyFont="1" applyFill="1" applyBorder="1" applyAlignment="1" applyProtection="1">
      <alignment horizontal="center" vertical="center"/>
    </xf>
    <xf numFmtId="0" fontId="10" fillId="2" borderId="120" xfId="0" applyFont="1" applyFill="1" applyBorder="1" applyAlignment="1" applyProtection="1">
      <alignment horizontal="center" vertical="center"/>
    </xf>
    <xf numFmtId="0" fontId="10" fillId="2" borderId="102" xfId="0" applyFont="1" applyFill="1" applyBorder="1" applyAlignment="1" applyProtection="1">
      <alignment horizontal="center" vertical="center" wrapText="1"/>
    </xf>
    <xf numFmtId="0" fontId="55" fillId="2" borderId="0" xfId="0" applyFont="1" applyFill="1" applyAlignment="1" applyProtection="1">
      <alignment horizontal="center" vertical="center"/>
    </xf>
    <xf numFmtId="0" fontId="55" fillId="2" borderId="4" xfId="0" applyFont="1" applyFill="1" applyBorder="1" applyAlignment="1" applyProtection="1">
      <alignment horizontal="center" vertical="center"/>
    </xf>
    <xf numFmtId="0" fontId="44" fillId="0" borderId="4" xfId="0" applyFont="1" applyBorder="1" applyAlignment="1" applyProtection="1">
      <alignment horizontal="center" vertical="center"/>
    </xf>
    <xf numFmtId="179" fontId="55" fillId="2" borderId="0" xfId="0" applyNumberFormat="1" applyFont="1" applyFill="1" applyAlignment="1" applyProtection="1">
      <alignment horizontal="center" vertical="center"/>
    </xf>
    <xf numFmtId="0" fontId="28" fillId="2" borderId="0" xfId="0" applyFont="1" applyFill="1" applyBorder="1" applyAlignment="1" applyProtection="1">
      <alignment horizontal="center" vertical="center"/>
    </xf>
    <xf numFmtId="0" fontId="28" fillId="2" borderId="32" xfId="0" applyFont="1" applyFill="1" applyBorder="1" applyAlignment="1" applyProtection="1">
      <alignment horizontal="center" vertical="center" shrinkToFit="1"/>
    </xf>
    <xf numFmtId="0" fontId="28" fillId="2" borderId="17" xfId="0" applyFont="1" applyFill="1" applyBorder="1" applyAlignment="1" applyProtection="1">
      <alignment horizontal="center" vertical="center"/>
    </xf>
    <xf numFmtId="0" fontId="28" fillId="2" borderId="19" xfId="0" applyFont="1" applyFill="1" applyBorder="1" applyAlignment="1" applyProtection="1">
      <alignment horizontal="center" vertical="center"/>
    </xf>
    <xf numFmtId="0" fontId="28" fillId="0" borderId="28" xfId="0" applyFont="1" applyFill="1" applyBorder="1" applyAlignment="1" applyProtection="1">
      <alignment horizontal="center" vertical="center" shrinkToFit="1"/>
    </xf>
    <xf numFmtId="0" fontId="28" fillId="0" borderId="5" xfId="0" applyFont="1" applyFill="1" applyBorder="1" applyAlignment="1" applyProtection="1">
      <alignment horizontal="center" vertical="center" shrinkToFit="1"/>
    </xf>
    <xf numFmtId="0" fontId="28" fillId="0" borderId="0" xfId="0" applyFont="1" applyFill="1" applyBorder="1" applyAlignment="1" applyProtection="1">
      <alignment horizontal="center" vertical="center" shrinkToFit="1"/>
    </xf>
    <xf numFmtId="0" fontId="10" fillId="3" borderId="12" xfId="3" applyFont="1" applyFill="1" applyBorder="1" applyAlignment="1" applyProtection="1">
      <alignment horizontal="center" vertical="center" shrinkToFit="1"/>
    </xf>
    <xf numFmtId="0" fontId="28" fillId="0" borderId="23" xfId="0" applyFont="1" applyBorder="1" applyAlignment="1" applyProtection="1">
      <alignment horizontal="center" vertical="center" shrinkToFit="1"/>
    </xf>
    <xf numFmtId="0" fontId="28" fillId="0" borderId="109" xfId="0" applyFont="1" applyBorder="1" applyAlignment="1" applyProtection="1">
      <alignment horizontal="center" vertical="center" shrinkToFit="1"/>
    </xf>
    <xf numFmtId="0" fontId="28" fillId="0" borderId="24" xfId="0" applyFont="1" applyBorder="1" applyAlignment="1" applyProtection="1">
      <alignment horizontal="center" vertical="center" shrinkToFit="1"/>
    </xf>
    <xf numFmtId="0" fontId="28" fillId="0" borderId="25" xfId="0" applyFont="1" applyBorder="1" applyAlignment="1" applyProtection="1">
      <alignment horizontal="center" vertical="center" shrinkToFit="1"/>
    </xf>
    <xf numFmtId="0" fontId="4" fillId="2" borderId="6" xfId="3" applyFont="1" applyFill="1" applyBorder="1" applyAlignment="1" applyProtection="1">
      <alignment horizontal="center" vertical="center" shrinkToFit="1"/>
    </xf>
    <xf numFmtId="0" fontId="28" fillId="2" borderId="288" xfId="0" applyFont="1" applyFill="1" applyBorder="1" applyAlignment="1" applyProtection="1">
      <alignment horizontal="center" vertical="center"/>
    </xf>
    <xf numFmtId="0" fontId="28" fillId="2" borderId="0" xfId="0" applyFont="1" applyFill="1" applyBorder="1" applyAlignment="1" applyProtection="1">
      <alignment horizontal="center" vertical="center" shrinkToFit="1"/>
    </xf>
    <xf numFmtId="176" fontId="10" fillId="2" borderId="9" xfId="1" applyNumberFormat="1" applyFont="1" applyFill="1" applyBorder="1" applyAlignment="1" applyProtection="1">
      <alignment horizontal="center" vertical="center" shrinkToFit="1"/>
    </xf>
    <xf numFmtId="0" fontId="28" fillId="3" borderId="341" xfId="0" applyFont="1" applyFill="1" applyBorder="1" applyAlignment="1" applyProtection="1">
      <alignment horizontal="center" vertical="center" shrinkToFit="1"/>
    </xf>
    <xf numFmtId="0" fontId="28" fillId="2" borderId="288" xfId="0" applyFont="1" applyFill="1" applyBorder="1" applyAlignment="1" applyProtection="1">
      <alignment horizontal="center" vertical="center" shrinkToFit="1"/>
    </xf>
    <xf numFmtId="0" fontId="47" fillId="2" borderId="15" xfId="0" applyFont="1" applyFill="1" applyBorder="1" applyAlignment="1" applyProtection="1">
      <alignment horizontal="center" vertical="center" shrinkToFit="1"/>
    </xf>
    <xf numFmtId="0" fontId="29" fillId="0" borderId="383" xfId="0" applyFont="1" applyFill="1" applyBorder="1" applyAlignment="1" applyProtection="1">
      <alignment horizontal="center" vertical="center" shrinkToFit="1"/>
    </xf>
    <xf numFmtId="0" fontId="29" fillId="0" borderId="339" xfId="0" applyFont="1" applyFill="1" applyBorder="1" applyAlignment="1" applyProtection="1">
      <alignment horizontal="center" vertical="center" shrinkToFit="1"/>
    </xf>
    <xf numFmtId="0" fontId="28" fillId="0" borderId="4" xfId="0" applyFont="1" applyFill="1" applyBorder="1" applyAlignment="1" applyProtection="1">
      <alignment horizontal="center" vertical="center" shrinkToFit="1"/>
    </xf>
    <xf numFmtId="0" fontId="28" fillId="0" borderId="10" xfId="0" applyFont="1" applyFill="1" applyBorder="1" applyAlignment="1" applyProtection="1">
      <alignment horizontal="center" vertical="center" shrinkToFit="1"/>
    </xf>
    <xf numFmtId="0" fontId="28" fillId="0" borderId="95" xfId="0" applyFont="1" applyFill="1" applyBorder="1" applyAlignment="1" applyProtection="1">
      <alignment horizontal="center" vertical="center" shrinkToFit="1"/>
    </xf>
    <xf numFmtId="0" fontId="13" fillId="0" borderId="6" xfId="0" applyFont="1" applyFill="1" applyBorder="1" applyAlignment="1" applyProtection="1">
      <alignment horizontal="center" vertical="center" shrinkToFit="1"/>
    </xf>
    <xf numFmtId="0" fontId="13" fillId="0" borderId="47" xfId="0" applyFont="1" applyFill="1" applyBorder="1" applyAlignment="1" applyProtection="1">
      <alignment horizontal="center" vertical="center"/>
    </xf>
    <xf numFmtId="0" fontId="47" fillId="0" borderId="47" xfId="0" applyFont="1" applyFill="1" applyBorder="1" applyAlignment="1" applyProtection="1">
      <alignment horizontal="center" vertical="center"/>
    </xf>
    <xf numFmtId="0" fontId="28" fillId="2" borderId="357" xfId="0" applyFont="1" applyFill="1" applyBorder="1" applyAlignment="1" applyProtection="1">
      <alignment horizontal="center" vertical="center" shrinkToFit="1"/>
    </xf>
    <xf numFmtId="0" fontId="47" fillId="2" borderId="403" xfId="0" applyFont="1" applyFill="1" applyBorder="1" applyAlignment="1" applyProtection="1">
      <alignment horizontal="center" vertical="center" shrinkToFit="1"/>
    </xf>
    <xf numFmtId="0" fontId="28" fillId="2" borderId="183" xfId="0" applyFont="1" applyFill="1" applyBorder="1" applyAlignment="1" applyProtection="1">
      <alignment horizontal="center" vertical="center" shrinkToFit="1"/>
    </xf>
    <xf numFmtId="0" fontId="28" fillId="2" borderId="247" xfId="0" applyFont="1" applyFill="1" applyBorder="1" applyAlignment="1" applyProtection="1">
      <alignment horizontal="center" vertical="center" shrinkToFit="1"/>
    </xf>
    <xf numFmtId="0" fontId="10" fillId="3" borderId="76" xfId="1" applyFont="1" applyFill="1" applyBorder="1" applyAlignment="1" applyProtection="1">
      <alignment horizontal="center" vertical="center" wrapText="1" shrinkToFit="1"/>
    </xf>
    <xf numFmtId="0" fontId="28" fillId="2" borderId="279" xfId="0" applyFont="1" applyFill="1" applyBorder="1" applyAlignment="1" applyProtection="1">
      <alignment horizontal="center" vertical="center" shrinkToFit="1"/>
    </xf>
    <xf numFmtId="0" fontId="28" fillId="2" borderId="371" xfId="0" applyFont="1" applyFill="1" applyBorder="1" applyAlignment="1" applyProtection="1">
      <alignment horizontal="center" vertical="center" shrinkToFit="1"/>
    </xf>
    <xf numFmtId="0" fontId="28" fillId="2" borderId="179" xfId="0" applyFont="1" applyFill="1" applyBorder="1" applyAlignment="1" applyProtection="1">
      <alignment horizontal="center" vertical="center" shrinkToFit="1"/>
    </xf>
    <xf numFmtId="0" fontId="28" fillId="2" borderId="348" xfId="0" applyFont="1" applyFill="1" applyBorder="1" applyAlignment="1" applyProtection="1">
      <alignment horizontal="center" vertical="center" shrinkToFit="1"/>
    </xf>
    <xf numFmtId="0" fontId="28" fillId="2" borderId="86" xfId="0" applyFont="1" applyFill="1" applyBorder="1" applyAlignment="1" applyProtection="1">
      <alignment horizontal="center" vertical="center" shrinkToFit="1"/>
    </xf>
    <xf numFmtId="0" fontId="27" fillId="2" borderId="1" xfId="0" applyFont="1" applyFill="1" applyBorder="1" applyAlignment="1" applyProtection="1">
      <alignment horizontal="center" vertical="center" shrinkToFit="1"/>
    </xf>
    <xf numFmtId="0" fontId="27" fillId="2" borderId="29" xfId="0" applyFont="1" applyFill="1" applyBorder="1" applyAlignment="1" applyProtection="1">
      <alignment horizontal="center" vertical="center" shrinkToFit="1"/>
    </xf>
    <xf numFmtId="0" fontId="27" fillId="2" borderId="12" xfId="0" applyFont="1" applyFill="1" applyBorder="1" applyAlignment="1" applyProtection="1">
      <alignment horizontal="center" vertical="center" shrinkToFit="1"/>
    </xf>
    <xf numFmtId="0" fontId="27" fillId="2" borderId="18" xfId="0" applyFont="1" applyFill="1" applyBorder="1" applyAlignment="1" applyProtection="1">
      <alignment horizontal="center" vertical="center"/>
    </xf>
    <xf numFmtId="0" fontId="10" fillId="2" borderId="289" xfId="0" applyFont="1" applyFill="1" applyBorder="1" applyAlignment="1" applyProtection="1">
      <alignment vertical="center" shrinkToFit="1"/>
    </xf>
    <xf numFmtId="0" fontId="10" fillId="2" borderId="485" xfId="0" applyFont="1" applyFill="1" applyBorder="1" applyAlignment="1" applyProtection="1">
      <alignment vertical="center" shrinkToFit="1"/>
    </xf>
    <xf numFmtId="0" fontId="10" fillId="2" borderId="86" xfId="0" applyFont="1" applyFill="1" applyBorder="1" applyAlignment="1" applyProtection="1">
      <alignment vertical="center" shrinkToFit="1"/>
    </xf>
    <xf numFmtId="0" fontId="10" fillId="2" borderId="136" xfId="0" applyFont="1" applyFill="1" applyBorder="1" applyAlignment="1" applyProtection="1">
      <alignment vertical="center" shrinkToFit="1"/>
    </xf>
    <xf numFmtId="188" fontId="28" fillId="4" borderId="169" xfId="0" applyNumberFormat="1" applyFont="1" applyFill="1" applyBorder="1" applyAlignment="1" applyProtection="1">
      <alignment horizontal="center" vertical="center" shrinkToFit="1"/>
      <protection locked="0"/>
    </xf>
    <xf numFmtId="188" fontId="28" fillId="4" borderId="170" xfId="0" applyNumberFormat="1" applyFont="1" applyFill="1" applyBorder="1" applyAlignment="1" applyProtection="1">
      <alignment horizontal="center" vertical="center" shrinkToFit="1"/>
      <protection locked="0"/>
    </xf>
    <xf numFmtId="188" fontId="28" fillId="4" borderId="171" xfId="0" applyNumberFormat="1" applyFont="1" applyFill="1" applyBorder="1" applyAlignment="1" applyProtection="1">
      <alignment horizontal="center" vertical="center" shrinkToFit="1"/>
      <protection locked="0"/>
    </xf>
    <xf numFmtId="188" fontId="28" fillId="4" borderId="181" xfId="0" applyNumberFormat="1" applyFont="1" applyFill="1" applyBorder="1" applyAlignment="1" applyProtection="1">
      <alignment horizontal="center" vertical="center" shrinkToFit="1"/>
      <protection locked="0"/>
    </xf>
    <xf numFmtId="188" fontId="28" fillId="4" borderId="22" xfId="0" applyNumberFormat="1" applyFont="1" applyFill="1" applyBorder="1" applyAlignment="1" applyProtection="1">
      <alignment horizontal="center" vertical="center" shrinkToFit="1"/>
      <protection locked="0"/>
    </xf>
    <xf numFmtId="0" fontId="44" fillId="0" borderId="4" xfId="0" applyFont="1" applyFill="1" applyBorder="1" applyProtection="1">
      <alignment vertical="center"/>
    </xf>
    <xf numFmtId="0" fontId="44" fillId="0" borderId="161" xfId="0" applyFont="1" applyBorder="1" applyAlignment="1" applyProtection="1">
      <alignment horizontal="center" vertical="center"/>
    </xf>
    <xf numFmtId="0" fontId="44" fillId="0" borderId="58" xfId="0" applyFont="1" applyBorder="1" applyAlignment="1" applyProtection="1">
      <alignment horizontal="center" vertical="center"/>
    </xf>
    <xf numFmtId="0" fontId="44" fillId="0" borderId="162" xfId="0" applyFont="1" applyBorder="1" applyProtection="1">
      <alignment vertical="center"/>
    </xf>
    <xf numFmtId="0" fontId="44" fillId="2" borderId="103" xfId="0" applyFont="1" applyFill="1" applyBorder="1" applyAlignment="1" applyProtection="1">
      <alignment vertical="center" shrinkToFit="1"/>
    </xf>
    <xf numFmtId="0" fontId="44" fillId="2" borderId="105" xfId="0" applyFont="1" applyFill="1" applyBorder="1" applyAlignment="1" applyProtection="1">
      <alignment vertical="center" shrinkToFit="1"/>
    </xf>
    <xf numFmtId="0" fontId="44" fillId="2" borderId="136" xfId="0" applyFont="1" applyFill="1" applyBorder="1" applyAlignment="1" applyProtection="1">
      <alignment vertical="center" shrinkToFit="1"/>
    </xf>
    <xf numFmtId="0" fontId="44" fillId="2" borderId="137" xfId="0" applyFont="1" applyFill="1" applyBorder="1" applyAlignment="1" applyProtection="1">
      <alignment vertical="center" shrinkToFit="1"/>
    </xf>
    <xf numFmtId="0" fontId="44" fillId="2" borderId="133" xfId="0" applyFont="1" applyFill="1" applyBorder="1" applyAlignment="1" applyProtection="1">
      <alignment vertical="center" shrinkToFit="1"/>
    </xf>
    <xf numFmtId="0" fontId="44" fillId="2" borderId="90" xfId="0" applyFont="1" applyFill="1" applyBorder="1" applyAlignment="1" applyProtection="1">
      <alignment vertical="center" shrinkToFit="1"/>
    </xf>
    <xf numFmtId="0" fontId="44" fillId="0" borderId="58" xfId="0" applyFont="1" applyBorder="1" applyProtection="1">
      <alignment vertical="center"/>
    </xf>
    <xf numFmtId="0" fontId="44" fillId="0" borderId="0" xfId="0" applyFont="1" applyFill="1" applyProtection="1">
      <alignment vertical="center"/>
    </xf>
    <xf numFmtId="178" fontId="10" fillId="2" borderId="12" xfId="3" applyNumberFormat="1" applyFont="1" applyFill="1" applyBorder="1" applyAlignment="1" applyProtection="1">
      <alignment vertical="center" shrinkToFit="1"/>
    </xf>
    <xf numFmtId="2" fontId="44" fillId="2" borderId="423" xfId="0" applyNumberFormat="1" applyFont="1" applyFill="1" applyBorder="1" applyAlignment="1" applyProtection="1">
      <alignment horizontal="right" vertical="center"/>
    </xf>
    <xf numFmtId="2" fontId="44" fillId="2" borderId="424" xfId="0" applyNumberFormat="1" applyFont="1" applyFill="1" applyBorder="1" applyAlignment="1" applyProtection="1">
      <alignment horizontal="right" vertical="center"/>
    </xf>
    <xf numFmtId="2" fontId="44" fillId="2" borderId="425" xfId="0" applyNumberFormat="1" applyFont="1" applyFill="1" applyBorder="1" applyAlignment="1" applyProtection="1">
      <alignment horizontal="right" vertical="center"/>
    </xf>
    <xf numFmtId="2" fontId="44" fillId="2" borderId="0" xfId="0" applyNumberFormat="1" applyFont="1" applyFill="1" applyBorder="1" applyAlignment="1" applyProtection="1">
      <alignment horizontal="right" vertical="center"/>
    </xf>
    <xf numFmtId="0" fontId="66" fillId="2" borderId="0" xfId="0" applyFont="1" applyFill="1" applyProtection="1">
      <alignment vertical="center"/>
    </xf>
    <xf numFmtId="0" fontId="28" fillId="0" borderId="23" xfId="0" applyFont="1" applyBorder="1" applyAlignment="1" applyProtection="1">
      <alignment vertical="center" shrinkToFit="1"/>
    </xf>
    <xf numFmtId="0" fontId="28" fillId="0" borderId="24" xfId="0" applyFont="1" applyBorder="1" applyAlignment="1" applyProtection="1">
      <alignment vertical="center" shrinkToFit="1"/>
    </xf>
    <xf numFmtId="0" fontId="28" fillId="0" borderId="56" xfId="0" applyFont="1" applyBorder="1" applyAlignment="1" applyProtection="1">
      <alignment vertical="center" shrinkToFit="1"/>
    </xf>
    <xf numFmtId="0" fontId="28" fillId="0" borderId="263" xfId="0" applyFont="1" applyBorder="1" applyAlignment="1" applyProtection="1">
      <alignment vertical="center" shrinkToFit="1"/>
    </xf>
    <xf numFmtId="0" fontId="10" fillId="2" borderId="248" xfId="3" applyFont="1" applyFill="1" applyBorder="1" applyAlignment="1" applyProtection="1">
      <alignment horizontal="center" vertical="center" shrinkToFit="1"/>
    </xf>
    <xf numFmtId="0" fontId="10" fillId="2" borderId="250" xfId="3" applyFont="1" applyFill="1" applyBorder="1" applyAlignment="1" applyProtection="1">
      <alignment horizontal="center" vertical="center" shrinkToFit="1"/>
    </xf>
    <xf numFmtId="0" fontId="10" fillId="2" borderId="175" xfId="3" applyFont="1" applyFill="1" applyBorder="1" applyAlignment="1" applyProtection="1">
      <alignment horizontal="center" vertical="center" shrinkToFit="1"/>
    </xf>
    <xf numFmtId="0" fontId="10" fillId="2" borderId="254" xfId="3" applyFont="1" applyFill="1" applyBorder="1" applyAlignment="1" applyProtection="1">
      <alignment horizontal="center" vertical="center" shrinkToFit="1"/>
    </xf>
    <xf numFmtId="0" fontId="10" fillId="2" borderId="178" xfId="3" applyFont="1" applyFill="1" applyBorder="1" applyAlignment="1" applyProtection="1">
      <alignment horizontal="center" vertical="center" shrinkToFit="1"/>
    </xf>
    <xf numFmtId="0" fontId="10" fillId="2" borderId="258" xfId="3" applyFont="1" applyFill="1" applyBorder="1" applyAlignment="1" applyProtection="1">
      <alignment horizontal="center" vertical="center" shrinkToFit="1"/>
    </xf>
    <xf numFmtId="206" fontId="10" fillId="0" borderId="247" xfId="3" applyNumberFormat="1" applyFont="1" applyBorder="1" applyAlignment="1" applyProtection="1">
      <alignment horizontal="right" vertical="center" shrinkToFit="1"/>
      <protection locked="0"/>
    </xf>
    <xf numFmtId="206" fontId="10" fillId="0" borderId="177" xfId="3" applyNumberFormat="1" applyFont="1" applyBorder="1" applyAlignment="1" applyProtection="1">
      <alignment horizontal="right" vertical="center" shrinkToFit="1"/>
      <protection locked="0"/>
    </xf>
    <xf numFmtId="206" fontId="10" fillId="0" borderId="180" xfId="3" applyNumberFormat="1" applyFont="1" applyBorder="1" applyAlignment="1" applyProtection="1">
      <alignment horizontal="right" vertical="center" shrinkToFit="1"/>
      <protection locked="0"/>
    </xf>
    <xf numFmtId="212" fontId="10" fillId="4" borderId="401" xfId="1" applyNumberFormat="1" applyFont="1" applyFill="1" applyBorder="1" applyAlignment="1" applyProtection="1">
      <alignment horizontal="right" vertical="center" shrinkToFit="1"/>
      <protection locked="0"/>
    </xf>
    <xf numFmtId="0" fontId="28" fillId="4" borderId="156" xfId="0" applyFont="1" applyFill="1" applyBorder="1" applyAlignment="1" applyProtection="1">
      <alignment horizontal="center" vertical="center" shrinkToFit="1"/>
      <protection locked="0"/>
    </xf>
    <xf numFmtId="0" fontId="28" fillId="4" borderId="390" xfId="0" applyFont="1" applyFill="1" applyBorder="1" applyAlignment="1" applyProtection="1">
      <alignment horizontal="center" vertical="center" shrinkToFit="1"/>
      <protection locked="0"/>
    </xf>
    <xf numFmtId="0" fontId="28" fillId="4" borderId="452" xfId="0" applyFont="1" applyFill="1" applyBorder="1" applyAlignment="1" applyProtection="1">
      <alignment horizontal="center" vertical="center" shrinkToFit="1"/>
      <protection locked="0"/>
    </xf>
    <xf numFmtId="0" fontId="28" fillId="4" borderId="435" xfId="0" applyFont="1" applyFill="1" applyBorder="1" applyAlignment="1" applyProtection="1">
      <alignment horizontal="center" vertical="center" shrinkToFit="1"/>
      <protection locked="0"/>
    </xf>
    <xf numFmtId="0" fontId="28" fillId="4" borderId="437" xfId="0" applyFont="1" applyFill="1" applyBorder="1" applyAlignment="1" applyProtection="1">
      <alignment horizontal="center" vertical="center" shrinkToFit="1"/>
      <protection locked="0"/>
    </xf>
    <xf numFmtId="0" fontId="28" fillId="4" borderId="352" xfId="0" applyFont="1" applyFill="1" applyBorder="1" applyAlignment="1" applyProtection="1">
      <alignment horizontal="center" vertical="center" shrinkToFit="1"/>
      <protection locked="0"/>
    </xf>
    <xf numFmtId="0" fontId="28" fillId="4" borderId="463" xfId="0" applyFont="1" applyFill="1" applyBorder="1" applyAlignment="1" applyProtection="1">
      <alignment horizontal="center" vertical="center" shrinkToFit="1"/>
      <protection locked="0"/>
    </xf>
    <xf numFmtId="0" fontId="28" fillId="4" borderId="439" xfId="0" applyFont="1" applyFill="1" applyBorder="1" applyAlignment="1" applyProtection="1">
      <alignment horizontal="center" vertical="center" shrinkToFit="1"/>
      <protection locked="0"/>
    </xf>
    <xf numFmtId="0" fontId="28" fillId="4" borderId="464" xfId="0" applyFont="1" applyFill="1" applyBorder="1" applyAlignment="1" applyProtection="1">
      <alignment horizontal="center" vertical="center" shrinkToFit="1"/>
      <protection locked="0"/>
    </xf>
    <xf numFmtId="0" fontId="28" fillId="4" borderId="425" xfId="0" applyFont="1" applyFill="1" applyBorder="1" applyAlignment="1" applyProtection="1">
      <alignment horizontal="center" vertical="center" shrinkToFit="1"/>
      <protection locked="0"/>
    </xf>
    <xf numFmtId="2" fontId="28" fillId="4" borderId="300" xfId="0" applyNumberFormat="1" applyFont="1" applyFill="1" applyBorder="1" applyAlignment="1" applyProtection="1">
      <alignment horizontal="center" vertical="center"/>
      <protection locked="0"/>
    </xf>
    <xf numFmtId="2" fontId="28" fillId="4" borderId="225" xfId="0" applyNumberFormat="1" applyFont="1" applyFill="1" applyBorder="1" applyAlignment="1" applyProtection="1">
      <alignment horizontal="center" vertical="center"/>
      <protection locked="0"/>
    </xf>
    <xf numFmtId="2" fontId="28" fillId="4" borderId="205" xfId="0" applyNumberFormat="1" applyFont="1" applyFill="1" applyBorder="1" applyAlignment="1" applyProtection="1">
      <alignment horizontal="center" vertical="center"/>
      <protection locked="0"/>
    </xf>
    <xf numFmtId="2" fontId="28" fillId="4" borderId="280" xfId="0" applyNumberFormat="1" applyFont="1" applyFill="1" applyBorder="1" applyAlignment="1" applyProtection="1">
      <alignment horizontal="center" vertical="center"/>
      <protection locked="0"/>
    </xf>
    <xf numFmtId="2" fontId="28" fillId="4" borderId="227" xfId="0" applyNumberFormat="1" applyFont="1" applyFill="1" applyBorder="1" applyAlignment="1" applyProtection="1">
      <alignment horizontal="center" vertical="center"/>
      <protection locked="0"/>
    </xf>
    <xf numFmtId="2" fontId="28" fillId="4" borderId="281" xfId="0" applyNumberFormat="1" applyFont="1" applyFill="1" applyBorder="1" applyAlignment="1" applyProtection="1">
      <alignment horizontal="center" vertical="center"/>
      <protection locked="0"/>
    </xf>
    <xf numFmtId="189" fontId="10" fillId="4" borderId="4" xfId="1" applyNumberFormat="1" applyFont="1" applyFill="1" applyBorder="1" applyAlignment="1" applyProtection="1">
      <alignment horizontal="right" vertical="center" shrinkToFit="1"/>
      <protection locked="0"/>
    </xf>
    <xf numFmtId="187" fontId="10" fillId="4" borderId="4" xfId="1" applyNumberFormat="1" applyFont="1" applyFill="1" applyBorder="1" applyAlignment="1" applyProtection="1">
      <alignment horizontal="right" vertical="center" shrinkToFit="1"/>
      <protection locked="0"/>
    </xf>
    <xf numFmtId="0" fontId="10" fillId="2" borderId="89" xfId="0" applyFont="1" applyFill="1" applyBorder="1" applyAlignment="1" applyProtection="1">
      <alignment horizontal="left" vertical="center" shrinkToFit="1"/>
    </xf>
    <xf numFmtId="0" fontId="28" fillId="0" borderId="4" xfId="0" applyFont="1" applyFill="1" applyBorder="1" applyAlignment="1" applyProtection="1">
      <alignment horizontal="center" vertical="center" shrinkToFit="1"/>
    </xf>
    <xf numFmtId="0" fontId="10" fillId="2" borderId="89" xfId="0" applyFont="1" applyFill="1" applyBorder="1" applyAlignment="1" applyProtection="1">
      <alignment vertical="center" shrinkToFit="1"/>
    </xf>
    <xf numFmtId="0" fontId="39" fillId="2" borderId="21" xfId="0" applyFont="1" applyFill="1" applyBorder="1" applyAlignment="1" applyProtection="1">
      <alignment vertical="center" wrapText="1"/>
    </xf>
    <xf numFmtId="0" fontId="39" fillId="2" borderId="0" xfId="0" applyFont="1" applyFill="1" applyBorder="1" applyAlignment="1" applyProtection="1">
      <alignment vertical="center" wrapText="1"/>
    </xf>
    <xf numFmtId="0" fontId="39" fillId="2" borderId="0" xfId="0" applyFont="1" applyFill="1" applyBorder="1" applyAlignment="1" applyProtection="1">
      <alignment vertical="center"/>
    </xf>
    <xf numFmtId="0" fontId="69" fillId="0" borderId="0" xfId="0" applyFont="1" applyAlignment="1" applyProtection="1">
      <alignment vertical="center"/>
    </xf>
    <xf numFmtId="0" fontId="39" fillId="0" borderId="0" xfId="0" applyFont="1" applyBorder="1" applyAlignment="1" applyProtection="1">
      <alignment vertical="center"/>
    </xf>
    <xf numFmtId="0" fontId="39" fillId="0" borderId="0" xfId="0" applyFont="1" applyAlignment="1" applyProtection="1">
      <alignment vertical="center"/>
    </xf>
    <xf numFmtId="2" fontId="28" fillId="2" borderId="280" xfId="0" applyNumberFormat="1" applyFont="1" applyFill="1" applyBorder="1" applyAlignment="1" applyProtection="1">
      <alignment horizontal="center" vertical="center"/>
    </xf>
    <xf numFmtId="2" fontId="28" fillId="13" borderId="281" xfId="0" applyNumberFormat="1" applyFont="1" applyFill="1" applyBorder="1" applyAlignment="1" applyProtection="1">
      <alignment horizontal="center" vertical="center"/>
    </xf>
    <xf numFmtId="0" fontId="29" fillId="0" borderId="96" xfId="0" applyFont="1" applyBorder="1" applyAlignment="1" applyProtection="1">
      <alignment horizontal="center" vertical="center"/>
    </xf>
    <xf numFmtId="0" fontId="28" fillId="0" borderId="4" xfId="0" applyFont="1" applyFill="1" applyBorder="1" applyAlignment="1" applyProtection="1">
      <alignment horizontal="center" vertical="center" shrinkToFit="1"/>
    </xf>
    <xf numFmtId="0" fontId="30" fillId="0" borderId="383" xfId="0" applyFont="1" applyFill="1" applyBorder="1" applyAlignment="1" applyProtection="1">
      <alignment horizontal="center" vertical="center" shrinkToFit="1"/>
    </xf>
    <xf numFmtId="0" fontId="10" fillId="0" borderId="476" xfId="0" applyFont="1" applyBorder="1" applyAlignment="1" applyProtection="1">
      <alignment horizontal="center" vertical="center"/>
    </xf>
    <xf numFmtId="0" fontId="29" fillId="0" borderId="339" xfId="0" applyFont="1" applyFill="1" applyBorder="1" applyAlignment="1" applyProtection="1">
      <alignment horizontal="center" vertical="center" shrinkToFit="1"/>
    </xf>
    <xf numFmtId="0" fontId="27" fillId="0" borderId="4" xfId="0" applyFont="1" applyBorder="1" applyAlignment="1" applyProtection="1">
      <alignment horizontal="left" vertical="center" wrapText="1" shrinkToFit="1"/>
    </xf>
    <xf numFmtId="0" fontId="28" fillId="0" borderId="347" xfId="0" applyFont="1" applyFill="1" applyBorder="1" applyAlignment="1" applyProtection="1">
      <alignment horizontal="center" vertical="center" shrinkToFit="1"/>
    </xf>
    <xf numFmtId="0" fontId="0" fillId="0" borderId="4" xfId="0" applyBorder="1" applyAlignment="1" applyProtection="1">
      <alignment horizontal="left" vertical="center" wrapText="1" shrinkToFit="1"/>
    </xf>
    <xf numFmtId="0" fontId="10" fillId="2" borderId="19" xfId="0" applyFont="1" applyFill="1" applyBorder="1" applyAlignment="1" applyProtection="1">
      <alignment horizontal="center" vertical="center"/>
    </xf>
    <xf numFmtId="0" fontId="45" fillId="2" borderId="0" xfId="0" applyFont="1" applyFill="1" applyAlignment="1" applyProtection="1">
      <alignment horizontal="left" vertical="center"/>
    </xf>
    <xf numFmtId="0" fontId="10" fillId="2" borderId="10" xfId="0" applyFont="1" applyFill="1" applyBorder="1" applyAlignment="1" applyProtection="1">
      <alignment vertical="center"/>
    </xf>
    <xf numFmtId="0" fontId="44" fillId="0" borderId="0" xfId="0" applyFont="1" applyBorder="1" applyProtection="1">
      <alignment vertical="center"/>
    </xf>
    <xf numFmtId="0" fontId="44" fillId="2" borderId="10" xfId="0" applyFont="1" applyFill="1" applyBorder="1" applyProtection="1">
      <alignment vertical="center"/>
    </xf>
    <xf numFmtId="0" fontId="44" fillId="2" borderId="0" xfId="0" applyFont="1" applyFill="1" applyBorder="1" applyProtection="1">
      <alignment vertical="center"/>
    </xf>
    <xf numFmtId="0" fontId="46" fillId="2" borderId="0" xfId="0" applyFont="1" applyFill="1" applyBorder="1" applyAlignment="1" applyProtection="1">
      <alignment horizontal="left" vertical="center"/>
    </xf>
    <xf numFmtId="0" fontId="46" fillId="2" borderId="15" xfId="0" applyFont="1" applyFill="1" applyBorder="1" applyAlignment="1" applyProtection="1">
      <alignment horizontal="left" vertical="center"/>
    </xf>
    <xf numFmtId="0" fontId="44" fillId="2" borderId="21" xfId="0" applyFont="1" applyFill="1" applyBorder="1" applyAlignment="1" applyProtection="1">
      <alignment vertical="center"/>
    </xf>
    <xf numFmtId="0" fontId="44" fillId="2" borderId="15" xfId="0" applyFont="1" applyFill="1" applyBorder="1" applyAlignment="1" applyProtection="1">
      <alignment vertical="center"/>
    </xf>
    <xf numFmtId="0" fontId="10" fillId="2" borderId="13" xfId="0" applyFont="1" applyFill="1" applyBorder="1" applyAlignment="1" applyProtection="1">
      <alignment horizontal="center" vertical="center"/>
    </xf>
    <xf numFmtId="0" fontId="44" fillId="2" borderId="15" xfId="0" applyFont="1" applyFill="1" applyBorder="1" applyAlignment="1" applyProtection="1">
      <alignment horizontal="center" vertical="center"/>
    </xf>
    <xf numFmtId="0" fontId="45" fillId="2" borderId="0" xfId="0" applyFont="1" applyFill="1" applyBorder="1" applyAlignment="1" applyProtection="1">
      <alignment horizontal="left" vertical="center"/>
    </xf>
    <xf numFmtId="0" fontId="28" fillId="7" borderId="0" xfId="0" applyFont="1" applyFill="1" applyBorder="1" applyAlignment="1" applyProtection="1">
      <alignment horizontal="center" vertical="center" shrinkToFit="1"/>
    </xf>
    <xf numFmtId="0" fontId="44" fillId="2" borderId="0" xfId="0" applyFont="1" applyFill="1" applyBorder="1" applyAlignment="1" applyProtection="1">
      <alignment horizontal="center" vertical="center"/>
    </xf>
    <xf numFmtId="0" fontId="44" fillId="2" borderId="18" xfId="0" applyFont="1" applyFill="1" applyBorder="1" applyAlignment="1" applyProtection="1">
      <alignment horizontal="center" vertical="center"/>
    </xf>
    <xf numFmtId="199" fontId="72" fillId="12" borderId="116" xfId="3" applyNumberFormat="1" applyFont="1" applyFill="1" applyBorder="1" applyAlignment="1" applyProtection="1">
      <alignment horizontal="left" shrinkToFit="1"/>
      <protection locked="0"/>
    </xf>
    <xf numFmtId="199" fontId="72" fillId="12" borderId="160" xfId="3" applyNumberFormat="1" applyFont="1" applyFill="1" applyBorder="1" applyAlignment="1" applyProtection="1">
      <alignment horizontal="left" shrinkToFit="1"/>
      <protection locked="0"/>
    </xf>
    <xf numFmtId="0" fontId="10" fillId="2" borderId="61" xfId="0" applyFont="1" applyFill="1" applyBorder="1" applyAlignment="1" applyProtection="1">
      <alignment vertical="center"/>
    </xf>
    <xf numFmtId="0" fontId="27" fillId="2" borderId="193" xfId="0" applyFont="1" applyFill="1" applyBorder="1" applyAlignment="1" applyProtection="1">
      <alignment horizontal="center" vertical="center" shrinkToFit="1"/>
    </xf>
    <xf numFmtId="0" fontId="27" fillId="2" borderId="177" xfId="0" applyFont="1" applyFill="1" applyBorder="1" applyAlignment="1" applyProtection="1">
      <alignment horizontal="center" vertical="center" shrinkToFit="1"/>
    </xf>
    <xf numFmtId="0" fontId="27" fillId="2" borderId="200" xfId="0" applyFont="1" applyFill="1" applyBorder="1" applyAlignment="1" applyProtection="1">
      <alignment horizontal="center" vertical="center" shrinkToFit="1"/>
    </xf>
    <xf numFmtId="0" fontId="10" fillId="0" borderId="4" xfId="0" applyFont="1" applyBorder="1" applyAlignment="1" applyProtection="1">
      <alignment horizontal="center" vertical="center"/>
    </xf>
    <xf numFmtId="0" fontId="74" fillId="0" borderId="0" xfId="12" applyProtection="1"/>
    <xf numFmtId="0" fontId="44" fillId="0" borderId="0" xfId="12" applyFont="1" applyFill="1" applyBorder="1" applyAlignment="1" applyProtection="1">
      <alignment horizontal="left" vertical="center"/>
    </xf>
    <xf numFmtId="0" fontId="75" fillId="0" borderId="0" xfId="7" applyFont="1" applyProtection="1">
      <alignment vertical="center"/>
    </xf>
    <xf numFmtId="0" fontId="74" fillId="0" borderId="0" xfId="12"/>
    <xf numFmtId="0" fontId="43" fillId="0" borderId="0" xfId="12" applyFont="1" applyAlignment="1" applyProtection="1">
      <alignment horizontal="left"/>
    </xf>
    <xf numFmtId="0" fontId="43" fillId="0" borderId="0" xfId="12" applyFont="1" applyAlignment="1" applyProtection="1">
      <alignment horizontal="center"/>
    </xf>
    <xf numFmtId="0" fontId="56" fillId="4" borderId="4" xfId="12" applyFont="1" applyFill="1" applyBorder="1" applyAlignment="1">
      <alignment horizontal="center" vertical="center"/>
    </xf>
    <xf numFmtId="0" fontId="50" fillId="0" borderId="0" xfId="12" applyFont="1" applyAlignment="1">
      <alignment vertical="center"/>
    </xf>
    <xf numFmtId="0" fontId="56" fillId="5" borderId="4" xfId="12" applyFont="1" applyFill="1" applyBorder="1" applyAlignment="1">
      <alignment horizontal="center" vertical="center"/>
    </xf>
    <xf numFmtId="0" fontId="56" fillId="0" borderId="4" xfId="12" applyFont="1" applyBorder="1" applyAlignment="1">
      <alignment horizontal="center" vertical="center"/>
    </xf>
    <xf numFmtId="0" fontId="76" fillId="0" borderId="0" xfId="12" applyFont="1" applyProtection="1"/>
    <xf numFmtId="0" fontId="38" fillId="0" borderId="0" xfId="7" applyFont="1" applyProtection="1">
      <alignment vertical="center"/>
    </xf>
    <xf numFmtId="0" fontId="12" fillId="0" borderId="0" xfId="7" applyFont="1" applyAlignment="1" applyProtection="1">
      <alignment horizontal="center" vertical="center"/>
    </xf>
    <xf numFmtId="0" fontId="75" fillId="0" borderId="11" xfId="7" applyFont="1" applyBorder="1" applyAlignment="1" applyProtection="1">
      <alignment horizontal="left" vertical="center" indent="1"/>
    </xf>
    <xf numFmtId="0" fontId="75" fillId="0" borderId="30" xfId="7" applyFont="1" applyBorder="1" applyProtection="1">
      <alignment vertical="center"/>
    </xf>
    <xf numFmtId="0" fontId="75" fillId="0" borderId="36" xfId="7" applyFont="1" applyBorder="1" applyAlignment="1" applyProtection="1">
      <alignment horizontal="left" vertical="center" indent="1"/>
    </xf>
    <xf numFmtId="0" fontId="75" fillId="0" borderId="34" xfId="7" applyFont="1" applyBorder="1" applyProtection="1">
      <alignment vertical="center"/>
    </xf>
    <xf numFmtId="0" fontId="75" fillId="0" borderId="37" xfId="7" applyFont="1" applyBorder="1" applyAlignment="1" applyProtection="1">
      <alignment horizontal="left" vertical="center" indent="1"/>
    </xf>
    <xf numFmtId="0" fontId="75" fillId="0" borderId="39" xfId="7" applyFont="1" applyBorder="1" applyAlignment="1" applyProtection="1">
      <alignment vertical="center" wrapText="1"/>
    </xf>
    <xf numFmtId="0" fontId="5" fillId="0" borderId="500" xfId="12" applyFont="1" applyBorder="1" applyAlignment="1" applyProtection="1">
      <alignment horizontal="center" vertical="center"/>
    </xf>
    <xf numFmtId="0" fontId="76" fillId="0" borderId="0" xfId="14" applyFont="1" applyProtection="1"/>
    <xf numFmtId="0" fontId="75" fillId="0" borderId="0" xfId="15" applyFont="1" applyProtection="1">
      <alignment vertical="center"/>
    </xf>
    <xf numFmtId="0" fontId="6" fillId="0" borderId="0" xfId="16"/>
    <xf numFmtId="0" fontId="56" fillId="6" borderId="4" xfId="12" applyFont="1" applyFill="1" applyBorder="1" applyAlignment="1">
      <alignment horizontal="center" vertical="center"/>
    </xf>
    <xf numFmtId="0" fontId="74" fillId="0" borderId="0" xfId="12" applyFill="1" applyBorder="1" applyAlignment="1" applyProtection="1">
      <alignment horizontal="center" vertical="center"/>
    </xf>
    <xf numFmtId="0" fontId="79" fillId="0" borderId="0" xfId="7" applyFont="1" applyBorder="1" applyAlignment="1" applyProtection="1">
      <alignment horizontal="center" vertical="center"/>
    </xf>
    <xf numFmtId="0" fontId="83" fillId="0" borderId="501" xfId="12" applyFont="1" applyBorder="1" applyAlignment="1" applyProtection="1">
      <alignment horizontal="center" vertical="center"/>
    </xf>
    <xf numFmtId="0" fontId="83" fillId="0" borderId="21" xfId="12" applyFont="1" applyBorder="1" applyAlignment="1" applyProtection="1">
      <alignment horizontal="left" vertical="center"/>
    </xf>
    <xf numFmtId="0" fontId="83" fillId="0" borderId="34" xfId="12" applyFont="1" applyBorder="1" applyAlignment="1" applyProtection="1">
      <alignment horizontal="left" vertical="center"/>
    </xf>
    <xf numFmtId="0" fontId="83" fillId="0" borderId="20" xfId="12" applyFont="1" applyBorder="1" applyAlignment="1" applyProtection="1">
      <alignment horizontal="left" vertical="center"/>
    </xf>
    <xf numFmtId="0" fontId="83" fillId="0" borderId="95" xfId="12" applyFont="1" applyBorder="1" applyAlignment="1" applyProtection="1">
      <alignment horizontal="left" vertical="center"/>
    </xf>
    <xf numFmtId="0" fontId="74" fillId="0" borderId="0" xfId="12" applyAlignment="1">
      <alignment horizontal="left" vertical="top"/>
    </xf>
    <xf numFmtId="0" fontId="75" fillId="0" borderId="0" xfId="7" applyFont="1" applyAlignment="1" applyProtection="1">
      <alignment horizontal="left" vertical="top"/>
    </xf>
    <xf numFmtId="0" fontId="85" fillId="0" borderId="44" xfId="12" applyFont="1" applyFill="1" applyBorder="1" applyAlignment="1" applyProtection="1">
      <alignment horizontal="center" vertical="center"/>
    </xf>
    <xf numFmtId="0" fontId="86" fillId="0" borderId="45" xfId="11" applyFont="1" applyBorder="1" applyAlignment="1" applyProtection="1">
      <alignment horizontal="center" vertical="center"/>
    </xf>
    <xf numFmtId="0" fontId="81" fillId="0" borderId="7" xfId="12" applyFont="1" applyFill="1" applyBorder="1" applyAlignment="1" applyProtection="1">
      <alignment horizontal="center" vertical="center"/>
    </xf>
    <xf numFmtId="0" fontId="75" fillId="0" borderId="68" xfId="7" applyFont="1" applyBorder="1" applyAlignment="1" applyProtection="1">
      <alignment horizontal="center" vertical="center"/>
    </xf>
    <xf numFmtId="0" fontId="81" fillId="0" borderId="53" xfId="12" applyFont="1" applyFill="1" applyBorder="1" applyAlignment="1" applyProtection="1">
      <alignment horizontal="center" vertical="center"/>
    </xf>
    <xf numFmtId="0" fontId="75" fillId="0" borderId="69" xfId="7" applyFont="1" applyBorder="1" applyAlignment="1" applyProtection="1">
      <alignment horizontal="center" vertical="center"/>
    </xf>
    <xf numFmtId="0" fontId="82" fillId="0" borderId="53" xfId="12" applyFont="1" applyFill="1" applyBorder="1" applyAlignment="1" applyProtection="1">
      <alignment horizontal="center" vertical="center"/>
    </xf>
    <xf numFmtId="0" fontId="87" fillId="0" borderId="44" xfId="14" applyFont="1" applyFill="1" applyBorder="1" applyAlignment="1" applyProtection="1">
      <alignment horizontal="center" vertical="center"/>
    </xf>
    <xf numFmtId="0" fontId="80" fillId="0" borderId="0" xfId="7" applyFont="1" applyProtection="1">
      <alignment vertical="center"/>
    </xf>
    <xf numFmtId="3" fontId="24" fillId="0" borderId="15" xfId="8" applyNumberFormat="1" applyFont="1" applyFill="1" applyBorder="1" applyAlignment="1">
      <alignment horizontal="center" vertical="center" wrapText="1"/>
    </xf>
    <xf numFmtId="0" fontId="10" fillId="2" borderId="0" xfId="0" applyFont="1" applyFill="1" applyBorder="1" applyAlignment="1" applyProtection="1">
      <alignment horizontal="center" vertical="center"/>
    </xf>
    <xf numFmtId="0" fontId="10" fillId="2" borderId="0" xfId="0" applyFont="1" applyFill="1" applyBorder="1" applyAlignment="1" applyProtection="1">
      <alignment horizontal="left" vertical="center" wrapText="1"/>
    </xf>
    <xf numFmtId="0" fontId="10" fillId="0" borderId="4" xfId="0" applyFont="1" applyBorder="1" applyAlignment="1" applyProtection="1">
      <alignment horizontal="center" vertical="center"/>
    </xf>
    <xf numFmtId="0" fontId="27" fillId="2" borderId="15" xfId="0" applyFont="1" applyFill="1" applyBorder="1" applyAlignment="1" applyProtection="1">
      <alignment horizontal="center" vertical="top" textRotation="255" shrinkToFit="1"/>
    </xf>
    <xf numFmtId="0" fontId="26" fillId="2" borderId="18" xfId="0" applyFont="1" applyFill="1" applyBorder="1" applyAlignment="1" applyProtection="1">
      <alignment horizontal="center" vertical="center" shrinkToFit="1"/>
    </xf>
    <xf numFmtId="0" fontId="27" fillId="2" borderId="18" xfId="0" applyFont="1" applyFill="1" applyBorder="1" applyAlignment="1" applyProtection="1">
      <alignment horizontal="center" vertical="center"/>
    </xf>
    <xf numFmtId="0" fontId="10" fillId="0" borderId="4" xfId="0" applyFont="1" applyBorder="1">
      <alignment vertical="center"/>
    </xf>
    <xf numFmtId="179" fontId="89" fillId="0" borderId="4" xfId="0" applyNumberFormat="1" applyFont="1" applyBorder="1" applyAlignment="1">
      <alignment horizontal="left" vertical="center"/>
    </xf>
    <xf numFmtId="179" fontId="40" fillId="0" borderId="4" xfId="0" applyNumberFormat="1" applyFont="1" applyBorder="1" applyAlignment="1">
      <alignment horizontal="left" vertical="center"/>
    </xf>
    <xf numFmtId="0" fontId="27" fillId="2" borderId="35" xfId="0" applyFont="1" applyFill="1" applyBorder="1" applyAlignment="1" applyProtection="1">
      <alignment horizontal="center" vertical="center" shrinkToFit="1"/>
    </xf>
    <xf numFmtId="0" fontId="27" fillId="2" borderId="113" xfId="0" applyFont="1" applyFill="1" applyBorder="1" applyAlignment="1" applyProtection="1">
      <alignment horizontal="center" vertical="center" textRotation="255" shrinkToFit="1"/>
    </xf>
    <xf numFmtId="0" fontId="10" fillId="0" borderId="17" xfId="0" applyFont="1" applyBorder="1" applyProtection="1">
      <alignment vertical="center"/>
    </xf>
    <xf numFmtId="0" fontId="27" fillId="0" borderId="14" xfId="0" applyFont="1" applyBorder="1" applyProtection="1">
      <alignment vertical="center"/>
    </xf>
    <xf numFmtId="0" fontId="27" fillId="0" borderId="18" xfId="0" applyFont="1" applyBorder="1" applyProtection="1">
      <alignment vertical="center"/>
    </xf>
    <xf numFmtId="0" fontId="27" fillId="0" borderId="18" xfId="0" applyFont="1" applyFill="1" applyBorder="1" applyProtection="1">
      <alignment vertical="center"/>
    </xf>
    <xf numFmtId="0" fontId="18" fillId="0" borderId="106" xfId="3" applyNumberFormat="1" applyFont="1" applyFill="1" applyBorder="1" applyAlignment="1" applyProtection="1">
      <alignment horizontal="center" vertical="center"/>
    </xf>
    <xf numFmtId="0" fontId="28" fillId="0" borderId="504" xfId="0" applyFont="1" applyFill="1" applyBorder="1" applyAlignment="1" applyProtection="1">
      <alignment horizontal="center" vertical="center"/>
    </xf>
    <xf numFmtId="0" fontId="28" fillId="0" borderId="505" xfId="0" applyFont="1" applyFill="1" applyBorder="1" applyAlignment="1" applyProtection="1">
      <alignment horizontal="center" vertical="center"/>
    </xf>
    <xf numFmtId="0" fontId="28" fillId="0" borderId="506" xfId="0" applyFont="1" applyFill="1" applyBorder="1" applyAlignment="1" applyProtection="1">
      <alignment horizontal="center" vertical="center"/>
    </xf>
    <xf numFmtId="0" fontId="27" fillId="0" borderId="6" xfId="0" applyFont="1" applyBorder="1" applyAlignment="1" applyProtection="1">
      <alignment horizontal="center" vertical="center"/>
    </xf>
    <xf numFmtId="0" fontId="10" fillId="0" borderId="3" xfId="0" applyFont="1" applyFill="1" applyBorder="1" applyAlignment="1" applyProtection="1">
      <alignment horizontal="center" vertical="center" shrinkToFit="1"/>
    </xf>
    <xf numFmtId="0" fontId="28" fillId="0" borderId="0" xfId="0" applyFont="1" applyFill="1" applyBorder="1" applyAlignment="1" applyProtection="1">
      <alignment horizontal="center" vertical="center" shrinkToFit="1"/>
    </xf>
    <xf numFmtId="0" fontId="28" fillId="2" borderId="21" xfId="0" applyFont="1" applyFill="1" applyBorder="1" applyAlignment="1" applyProtection="1">
      <alignment horizontal="center" vertical="center" shrinkToFit="1"/>
    </xf>
    <xf numFmtId="0" fontId="28" fillId="2" borderId="210" xfId="0" applyFont="1" applyFill="1" applyBorder="1" applyAlignment="1" applyProtection="1">
      <alignment horizontal="center" vertical="center" shrinkToFit="1"/>
    </xf>
    <xf numFmtId="0" fontId="29" fillId="0" borderId="339" xfId="0" applyFont="1" applyFill="1" applyBorder="1" applyAlignment="1" applyProtection="1">
      <alignment horizontal="center" vertical="center" shrinkToFit="1"/>
    </xf>
    <xf numFmtId="0" fontId="28" fillId="0" borderId="4" xfId="0" applyFont="1" applyFill="1" applyBorder="1" applyAlignment="1" applyProtection="1">
      <alignment horizontal="center" vertical="center" shrinkToFit="1"/>
    </xf>
    <xf numFmtId="0" fontId="28" fillId="0" borderId="95" xfId="0" applyFont="1" applyFill="1" applyBorder="1" applyAlignment="1" applyProtection="1">
      <alignment horizontal="center" vertical="center" shrinkToFit="1"/>
    </xf>
    <xf numFmtId="0" fontId="28" fillId="4" borderId="303" xfId="0" applyFont="1" applyFill="1" applyBorder="1" applyAlignment="1" applyProtection="1">
      <alignment horizontal="center" vertical="center" shrinkToFit="1"/>
      <protection locked="0"/>
    </xf>
    <xf numFmtId="2" fontId="28" fillId="2" borderId="183" xfId="0" applyNumberFormat="1" applyFont="1" applyFill="1" applyBorder="1" applyAlignment="1">
      <alignment horizontal="center" vertical="center" shrinkToFit="1"/>
    </xf>
    <xf numFmtId="2" fontId="28" fillId="2" borderId="0" xfId="0" applyNumberFormat="1" applyFont="1" applyFill="1" applyAlignment="1">
      <alignment horizontal="center" vertical="center" shrinkToFit="1"/>
    </xf>
    <xf numFmtId="0" fontId="28" fillId="0" borderId="34" xfId="0" applyFont="1" applyFill="1" applyBorder="1" applyAlignment="1" applyProtection="1">
      <alignment vertical="center"/>
    </xf>
    <xf numFmtId="0" fontId="28" fillId="0" borderId="32" xfId="0" applyFont="1" applyFill="1" applyBorder="1" applyAlignment="1" applyProtection="1">
      <alignment vertical="center" shrinkToFit="1"/>
    </xf>
    <xf numFmtId="0" fontId="28" fillId="0" borderId="110" xfId="0" applyFont="1" applyFill="1" applyBorder="1" applyAlignment="1" applyProtection="1">
      <alignment horizontal="center" vertical="center" shrinkToFit="1"/>
    </xf>
    <xf numFmtId="0" fontId="27" fillId="0" borderId="6" xfId="0" applyFont="1" applyBorder="1" applyAlignment="1" applyProtection="1">
      <alignment vertical="center"/>
    </xf>
    <xf numFmtId="0" fontId="27" fillId="0" borderId="9" xfId="0" applyFont="1" applyBorder="1" applyAlignment="1" applyProtection="1">
      <alignment vertical="center"/>
    </xf>
    <xf numFmtId="0" fontId="28" fillId="2" borderId="300" xfId="0" applyNumberFormat="1" applyFont="1" applyFill="1" applyBorder="1" applyAlignment="1" applyProtection="1">
      <alignment horizontal="center" vertical="center" shrinkToFit="1"/>
    </xf>
    <xf numFmtId="0" fontId="28" fillId="2" borderId="63" xfId="0" applyFont="1" applyFill="1" applyBorder="1" applyAlignment="1" applyProtection="1">
      <alignment horizontal="center" vertical="center" shrinkToFit="1"/>
    </xf>
    <xf numFmtId="0" fontId="28" fillId="2" borderId="205" xfId="0" applyFont="1" applyFill="1" applyBorder="1" applyAlignment="1" applyProtection="1">
      <alignment horizontal="center" vertical="center" shrinkToFit="1"/>
    </xf>
    <xf numFmtId="0" fontId="28" fillId="2" borderId="512" xfId="0" applyFont="1" applyFill="1" applyBorder="1" applyAlignment="1" applyProtection="1">
      <alignment horizontal="center" vertical="center" shrinkToFit="1"/>
    </xf>
    <xf numFmtId="2" fontId="28" fillId="2" borderId="64" xfId="0" applyNumberFormat="1" applyFont="1" applyFill="1" applyBorder="1" applyAlignment="1" applyProtection="1">
      <alignment horizontal="center" vertical="center" shrinkToFit="1"/>
    </xf>
    <xf numFmtId="0" fontId="28" fillId="2" borderId="492" xfId="0" applyFont="1" applyFill="1" applyBorder="1" applyAlignment="1" applyProtection="1">
      <alignment horizontal="center" vertical="center" shrinkToFit="1"/>
    </xf>
    <xf numFmtId="0" fontId="28" fillId="2" borderId="510" xfId="0" applyFont="1" applyFill="1" applyBorder="1" applyAlignment="1" applyProtection="1">
      <alignment horizontal="center" vertical="center" shrinkToFit="1"/>
    </xf>
    <xf numFmtId="2" fontId="47" fillId="2" borderId="63" xfId="0" applyNumberFormat="1" applyFont="1" applyFill="1" applyBorder="1" applyAlignment="1">
      <alignment horizontal="center" vertical="center" shrinkToFit="1"/>
    </xf>
    <xf numFmtId="0" fontId="28" fillId="4" borderId="205" xfId="0" applyFont="1" applyFill="1" applyBorder="1" applyAlignment="1" applyProtection="1">
      <alignment horizontal="center" vertical="center" shrinkToFit="1"/>
      <protection locked="0"/>
    </xf>
    <xf numFmtId="0" fontId="10" fillId="7" borderId="0" xfId="0" applyFont="1" applyFill="1" applyBorder="1" applyAlignment="1" applyProtection="1">
      <alignment horizontal="center" vertical="center" shrinkToFit="1"/>
    </xf>
    <xf numFmtId="0" fontId="10" fillId="2" borderId="0" xfId="3" applyFont="1" applyFill="1" applyBorder="1" applyAlignment="1" applyProtection="1">
      <alignment horizontal="left" vertical="center" shrinkToFit="1"/>
    </xf>
    <xf numFmtId="0" fontId="28" fillId="2" borderId="0" xfId="0" applyFont="1" applyFill="1" applyBorder="1" applyAlignment="1" applyProtection="1">
      <alignment horizontal="center" vertical="center" shrinkToFit="1"/>
    </xf>
    <xf numFmtId="0" fontId="28" fillId="0" borderId="507" xfId="0" applyFont="1" applyFill="1" applyBorder="1" applyAlignment="1" applyProtection="1">
      <alignment horizontal="center" vertical="center" shrinkToFit="1"/>
    </xf>
    <xf numFmtId="0" fontId="28" fillId="0" borderId="508" xfId="0" applyFont="1" applyFill="1" applyBorder="1" applyAlignment="1" applyProtection="1">
      <alignment horizontal="center" vertical="center" shrinkToFit="1"/>
    </xf>
    <xf numFmtId="0" fontId="28" fillId="0" borderId="509" xfId="0" applyFont="1" applyFill="1" applyBorder="1" applyAlignment="1" applyProtection="1">
      <alignment horizontal="center" vertical="center" shrinkToFit="1"/>
    </xf>
    <xf numFmtId="0" fontId="28" fillId="0" borderId="22" xfId="0" applyFont="1" applyBorder="1">
      <alignment vertical="center"/>
    </xf>
    <xf numFmtId="0" fontId="28" fillId="0" borderId="4" xfId="0" applyFont="1" applyBorder="1" applyAlignment="1">
      <alignment horizontal="center" vertical="center"/>
    </xf>
    <xf numFmtId="0" fontId="28" fillId="0" borderId="68" xfId="0" applyFont="1" applyBorder="1">
      <alignment vertical="center"/>
    </xf>
    <xf numFmtId="0" fontId="28" fillId="0" borderId="32" xfId="0" applyFont="1" applyBorder="1">
      <alignment vertical="center"/>
    </xf>
    <xf numFmtId="0" fontId="28" fillId="0" borderId="45" xfId="0" applyFont="1" applyBorder="1">
      <alignment vertical="center"/>
    </xf>
    <xf numFmtId="0" fontId="28" fillId="0" borderId="41" xfId="0" applyFont="1" applyBorder="1" applyAlignment="1" applyProtection="1">
      <alignment vertical="center" shrinkToFit="1"/>
    </xf>
    <xf numFmtId="0" fontId="28" fillId="0" borderId="10" xfId="0" applyFont="1" applyBorder="1" applyAlignment="1" applyProtection="1">
      <alignment vertical="center" shrinkToFit="1"/>
    </xf>
    <xf numFmtId="14" fontId="28" fillId="0" borderId="18" xfId="0" applyNumberFormat="1" applyFont="1" applyBorder="1" applyAlignment="1" applyProtection="1">
      <alignment vertical="center" shrinkToFit="1"/>
    </xf>
    <xf numFmtId="0" fontId="28" fillId="0" borderId="42" xfId="0" applyFont="1" applyBorder="1" applyAlignment="1">
      <alignment horizontal="center" vertical="center"/>
    </xf>
    <xf numFmtId="0" fontId="28" fillId="0" borderId="10" xfId="0" applyFont="1" applyBorder="1">
      <alignment vertical="center"/>
    </xf>
    <xf numFmtId="0" fontId="28" fillId="0" borderId="18" xfId="0" applyFont="1" applyBorder="1" applyAlignment="1">
      <alignment horizontal="center" vertical="center"/>
    </xf>
    <xf numFmtId="0" fontId="28" fillId="0" borderId="34" xfId="0" applyFont="1" applyBorder="1" applyAlignment="1" applyProtection="1">
      <alignment vertical="center"/>
    </xf>
    <xf numFmtId="0" fontId="28" fillId="0" borderId="38" xfId="0" applyFont="1" applyBorder="1" applyAlignment="1" applyProtection="1">
      <alignment vertical="center"/>
    </xf>
    <xf numFmtId="0" fontId="28" fillId="0" borderId="39" xfId="0" applyFont="1" applyBorder="1" applyAlignment="1" applyProtection="1">
      <alignment vertical="center"/>
    </xf>
    <xf numFmtId="0" fontId="10" fillId="2" borderId="0" xfId="3" applyNumberFormat="1" applyFont="1" applyFill="1" applyBorder="1" applyAlignment="1" applyProtection="1">
      <alignment horizontal="center" vertical="center" shrinkToFit="1"/>
    </xf>
    <xf numFmtId="192" fontId="28" fillId="0" borderId="0" xfId="0" applyNumberFormat="1" applyFont="1" applyBorder="1" applyAlignment="1" applyProtection="1">
      <alignment horizontal="right" vertical="center" shrinkToFit="1"/>
    </xf>
    <xf numFmtId="0" fontId="28" fillId="0" borderId="0" xfId="0" applyFont="1" applyBorder="1" applyAlignment="1" applyProtection="1">
      <alignment horizontal="right" vertical="center" shrinkToFit="1"/>
    </xf>
    <xf numFmtId="0" fontId="10" fillId="3" borderId="0" xfId="3" applyFont="1" applyFill="1" applyBorder="1" applyAlignment="1" applyProtection="1">
      <alignment horizontal="center" vertical="center"/>
    </xf>
    <xf numFmtId="178" fontId="10" fillId="2" borderId="0" xfId="3" applyNumberFormat="1" applyFont="1" applyFill="1" applyBorder="1" applyAlignment="1" applyProtection="1">
      <alignment vertical="center" shrinkToFit="1"/>
    </xf>
    <xf numFmtId="0" fontId="10" fillId="4" borderId="0" xfId="3" applyFont="1" applyFill="1" applyBorder="1" applyAlignment="1" applyProtection="1">
      <alignment horizontal="left" vertical="top" wrapText="1"/>
      <protection locked="0"/>
    </xf>
    <xf numFmtId="0" fontId="10" fillId="3" borderId="0" xfId="3" applyFont="1" applyFill="1" applyBorder="1" applyAlignment="1" applyProtection="1">
      <alignment horizontal="center" vertical="center" wrapText="1"/>
    </xf>
    <xf numFmtId="0" fontId="62" fillId="3" borderId="0" xfId="3" applyFont="1" applyFill="1" applyBorder="1" applyAlignment="1" applyProtection="1">
      <alignment horizontal="center" vertical="center" wrapText="1"/>
    </xf>
    <xf numFmtId="0" fontId="62" fillId="3" borderId="0" xfId="3" applyFont="1" applyFill="1" applyBorder="1" applyAlignment="1" applyProtection="1">
      <alignment horizontal="center" vertical="center"/>
    </xf>
    <xf numFmtId="0" fontId="28" fillId="3" borderId="0" xfId="0" applyFont="1" applyFill="1" applyBorder="1" applyAlignment="1" applyProtection="1">
      <alignment horizontal="center" vertical="center" shrinkToFit="1"/>
    </xf>
    <xf numFmtId="0" fontId="67" fillId="2" borderId="0" xfId="3" applyFont="1" applyFill="1" applyAlignment="1">
      <alignment vertical="center"/>
    </xf>
    <xf numFmtId="0" fontId="28" fillId="2" borderId="0" xfId="0" applyFont="1" applyFill="1">
      <alignment vertical="center"/>
    </xf>
    <xf numFmtId="0" fontId="28" fillId="2" borderId="6" xfId="0" applyFont="1" applyFill="1" applyBorder="1" applyAlignment="1">
      <alignment horizontal="center" vertical="center"/>
    </xf>
    <xf numFmtId="0" fontId="10" fillId="2" borderId="0" xfId="0" applyFont="1" applyFill="1" applyAlignment="1">
      <alignment horizontal="center" vertical="center"/>
    </xf>
    <xf numFmtId="0" fontId="28" fillId="15" borderId="4" xfId="0" applyFont="1" applyFill="1" applyBorder="1" applyAlignment="1">
      <alignment horizontal="center" vertical="center"/>
    </xf>
    <xf numFmtId="0" fontId="28" fillId="3" borderId="4" xfId="0" applyFont="1" applyFill="1" applyBorder="1">
      <alignment vertical="center"/>
    </xf>
    <xf numFmtId="0" fontId="10" fillId="2" borderId="0" xfId="0" applyFont="1" applyFill="1">
      <alignment vertical="center"/>
    </xf>
    <xf numFmtId="0" fontId="28" fillId="3" borderId="6" xfId="0" applyFont="1" applyFill="1" applyBorder="1" applyAlignment="1">
      <alignment horizontal="center" vertical="center"/>
    </xf>
    <xf numFmtId="0" fontId="28" fillId="3" borderId="0" xfId="0" applyFont="1" applyFill="1" applyAlignment="1">
      <alignment horizontal="center" vertical="center" shrinkToFit="1"/>
    </xf>
    <xf numFmtId="0" fontId="10" fillId="3" borderId="6" xfId="0" applyFont="1" applyFill="1" applyBorder="1" applyAlignment="1">
      <alignment horizontal="center" vertical="center" shrinkToFit="1"/>
    </xf>
    <xf numFmtId="0" fontId="76" fillId="0" borderId="0" xfId="14" applyFont="1"/>
    <xf numFmtId="0" fontId="75" fillId="0" borderId="0" xfId="15" applyFont="1">
      <alignment vertical="center"/>
    </xf>
    <xf numFmtId="0" fontId="0" fillId="0" borderId="4" xfId="0" applyBorder="1" applyAlignment="1">
      <alignment horizontal="center" vertical="center"/>
    </xf>
    <xf numFmtId="0" fontId="0" fillId="0" borderId="4" xfId="0" applyBorder="1" applyAlignment="1">
      <alignment horizontal="left" vertical="center"/>
    </xf>
    <xf numFmtId="0" fontId="90" fillId="0" borderId="44" xfId="14" applyFont="1" applyBorder="1" applyAlignment="1">
      <alignment horizontal="center" vertical="center"/>
    </xf>
    <xf numFmtId="0" fontId="91" fillId="0" borderId="30" xfId="11" applyFont="1" applyBorder="1" applyAlignment="1" applyProtection="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0" fontId="35" fillId="0" borderId="0" xfId="14" applyFont="1" applyAlignment="1">
      <alignment horizontal="left" vertical="center"/>
    </xf>
    <xf numFmtId="0" fontId="92" fillId="0" borderId="0" xfId="11" applyFont="1" applyBorder="1" applyAlignment="1" applyProtection="1">
      <alignment horizontal="center" vertical="center"/>
    </xf>
    <xf numFmtId="0" fontId="76" fillId="0" borderId="0" xfId="0" applyFont="1" applyAlignment="1"/>
    <xf numFmtId="0" fontId="0" fillId="0" borderId="0" xfId="0" applyAlignment="1"/>
    <xf numFmtId="0" fontId="92" fillId="0" borderId="44" xfId="0" applyFont="1" applyBorder="1" applyAlignment="1">
      <alignment horizontal="center" vertical="center"/>
    </xf>
    <xf numFmtId="0" fontId="91" fillId="0" borderId="45" xfId="11" applyFont="1" applyBorder="1" applyAlignment="1" applyProtection="1">
      <alignment horizontal="center" vertical="center"/>
    </xf>
    <xf numFmtId="0" fontId="75" fillId="0" borderId="68" xfId="7" applyFont="1" applyBorder="1" applyAlignment="1">
      <alignment horizontal="center" vertical="center" shrinkToFit="1"/>
    </xf>
    <xf numFmtId="0" fontId="0" fillId="0" borderId="53" xfId="0" applyBorder="1" applyAlignment="1">
      <alignment horizontal="center" vertical="center"/>
    </xf>
    <xf numFmtId="0" fontId="0" fillId="0" borderId="13" xfId="0" applyBorder="1">
      <alignment vertical="center"/>
    </xf>
    <xf numFmtId="0" fontId="93" fillId="0" borderId="4" xfId="0" applyFont="1" applyBorder="1" applyAlignment="1">
      <alignment horizontal="center" vertical="center"/>
    </xf>
    <xf numFmtId="0" fontId="93" fillId="0" borderId="6" xfId="0" applyFont="1" applyBorder="1" applyAlignment="1">
      <alignment horizontal="center" vertical="center"/>
    </xf>
    <xf numFmtId="0" fontId="6" fillId="15" borderId="516" xfId="0" applyFont="1" applyFill="1" applyBorder="1" applyAlignment="1">
      <alignment vertical="center" shrinkToFit="1"/>
    </xf>
    <xf numFmtId="0" fontId="69" fillId="0" borderId="0" xfId="0" applyFont="1" applyAlignment="1">
      <alignment horizontal="center" vertical="center"/>
    </xf>
    <xf numFmtId="0" fontId="6" fillId="15" borderId="517" xfId="0" applyFont="1" applyFill="1" applyBorder="1" applyAlignment="1">
      <alignment vertical="center" shrinkToFit="1"/>
    </xf>
    <xf numFmtId="0" fontId="35" fillId="2" borderId="0" xfId="0" applyFont="1" applyFill="1" applyAlignment="1">
      <alignment vertical="center" shrinkToFit="1"/>
    </xf>
    <xf numFmtId="0" fontId="6" fillId="15" borderId="518" xfId="0" applyFont="1" applyFill="1" applyBorder="1" applyAlignment="1">
      <alignment vertical="center" shrinkToFit="1"/>
    </xf>
    <xf numFmtId="0" fontId="94" fillId="0" borderId="0" xfId="0" applyFont="1">
      <alignment vertical="center"/>
    </xf>
    <xf numFmtId="0" fontId="94" fillId="16" borderId="0" xfId="0" applyFont="1" applyFill="1">
      <alignment vertical="center"/>
    </xf>
    <xf numFmtId="0" fontId="79" fillId="0" borderId="69" xfId="7" applyFont="1" applyBorder="1" applyAlignment="1">
      <alignment horizontal="center" vertical="center" shrinkToFit="1"/>
    </xf>
    <xf numFmtId="0" fontId="0" fillId="0" borderId="31" xfId="0" applyBorder="1" applyAlignment="1">
      <alignment horizontal="center" vertical="center"/>
    </xf>
    <xf numFmtId="0" fontId="95" fillId="0" borderId="0" xfId="7" applyFont="1">
      <alignment vertical="center"/>
    </xf>
    <xf numFmtId="0" fontId="97" fillId="0" borderId="0" xfId="0" applyFont="1">
      <alignment vertical="center"/>
    </xf>
    <xf numFmtId="0" fontId="97" fillId="0" borderId="0" xfId="0" applyFont="1" applyAlignment="1"/>
    <xf numFmtId="0" fontId="98" fillId="0" borderId="0" xfId="7" applyFont="1">
      <alignment vertical="center"/>
    </xf>
    <xf numFmtId="0" fontId="0" fillId="0" borderId="0" xfId="0" applyBorder="1" applyAlignment="1">
      <alignment horizontal="center" vertical="center"/>
    </xf>
    <xf numFmtId="0" fontId="0" fillId="0" borderId="46" xfId="0" applyBorder="1" applyAlignment="1">
      <alignment horizontal="center" vertical="center"/>
    </xf>
    <xf numFmtId="0" fontId="75" fillId="0" borderId="47" xfId="7" applyFont="1" applyBorder="1" applyAlignment="1">
      <alignment horizontal="center" vertical="center"/>
    </xf>
    <xf numFmtId="0" fontId="0" fillId="0" borderId="70" xfId="0" applyBorder="1" applyAlignment="1">
      <alignment horizontal="center" vertical="center"/>
    </xf>
    <xf numFmtId="0" fontId="38" fillId="0" borderId="68" xfId="7" applyFont="1" applyBorder="1" applyAlignment="1">
      <alignment horizontal="center" vertical="center" shrinkToFit="1"/>
    </xf>
    <xf numFmtId="0" fontId="36" fillId="0" borderId="39" xfId="0" applyFont="1" applyBorder="1">
      <alignment vertical="center"/>
    </xf>
    <xf numFmtId="0" fontId="41" fillId="0" borderId="4" xfId="0" applyFont="1" applyBorder="1" applyAlignment="1" applyProtection="1">
      <alignment horizontal="left" vertical="center" wrapText="1" shrinkToFit="1"/>
    </xf>
    <xf numFmtId="0" fontId="27" fillId="3" borderId="519" xfId="0" applyFont="1" applyFill="1" applyBorder="1" applyAlignment="1" applyProtection="1">
      <alignment horizontal="center" vertical="center" shrinkToFit="1"/>
    </xf>
    <xf numFmtId="0" fontId="27" fillId="3" borderId="520" xfId="0" applyFont="1" applyFill="1" applyBorder="1" applyAlignment="1" applyProtection="1">
      <alignment horizontal="center" vertical="center" shrinkToFit="1"/>
    </xf>
    <xf numFmtId="0" fontId="27" fillId="3" borderId="521" xfId="0" applyFont="1" applyFill="1" applyBorder="1" applyAlignment="1" applyProtection="1">
      <alignment horizontal="center" vertical="center" shrinkToFit="1"/>
    </xf>
    <xf numFmtId="0" fontId="27" fillId="3" borderId="522" xfId="0" applyFont="1" applyFill="1" applyBorder="1" applyAlignment="1" applyProtection="1">
      <alignment horizontal="center" vertical="center" shrinkToFit="1"/>
    </xf>
    <xf numFmtId="0" fontId="28" fillId="3" borderId="6" xfId="0" applyFont="1" applyFill="1" applyBorder="1" applyAlignment="1" applyProtection="1">
      <alignment horizontal="center" vertical="center"/>
      <protection locked="0"/>
    </xf>
    <xf numFmtId="0" fontId="10" fillId="3" borderId="6" xfId="0" applyFont="1" applyFill="1" applyBorder="1" applyAlignment="1" applyProtection="1">
      <alignment horizontal="center" vertical="center"/>
      <protection locked="0"/>
    </xf>
    <xf numFmtId="0" fontId="36" fillId="0" borderId="10" xfId="0" applyFont="1" applyBorder="1">
      <alignment vertical="center"/>
    </xf>
    <xf numFmtId="0" fontId="36" fillId="0" borderId="35" xfId="0" applyFont="1" applyBorder="1">
      <alignment vertical="center"/>
    </xf>
    <xf numFmtId="0" fontId="36" fillId="0" borderId="0" xfId="0" applyFont="1" applyBorder="1">
      <alignment vertical="center"/>
    </xf>
    <xf numFmtId="0" fontId="19" fillId="5" borderId="21" xfId="3" applyNumberFormat="1" applyFont="1" applyFill="1" applyBorder="1" applyAlignment="1" applyProtection="1">
      <alignment horizontal="center" vertical="center"/>
    </xf>
    <xf numFmtId="0" fontId="19" fillId="5" borderId="15" xfId="3" applyNumberFormat="1" applyFont="1" applyFill="1" applyBorder="1" applyAlignment="1" applyProtection="1">
      <alignment horizontal="center" vertical="center"/>
    </xf>
    <xf numFmtId="0" fontId="23" fillId="11" borderId="145" xfId="3" applyNumberFormat="1" applyFont="1" applyFill="1" applyBorder="1" applyAlignment="1" applyProtection="1">
      <alignment horizontal="center" vertical="center" shrinkToFit="1"/>
    </xf>
    <xf numFmtId="0" fontId="23" fillId="11" borderId="146" xfId="3" applyNumberFormat="1" applyFont="1" applyFill="1" applyBorder="1" applyAlignment="1" applyProtection="1">
      <alignment horizontal="center" vertical="center" shrinkToFit="1"/>
    </xf>
    <xf numFmtId="0" fontId="5" fillId="12" borderId="19" xfId="3" applyFont="1" applyFill="1" applyBorder="1" applyAlignment="1" applyProtection="1">
      <alignment horizontal="center" vertical="center"/>
      <protection locked="0"/>
    </xf>
    <xf numFmtId="0" fontId="5" fillId="12" borderId="16" xfId="3" applyFont="1" applyFill="1" applyBorder="1" applyAlignment="1" applyProtection="1">
      <alignment horizontal="center" vertical="center"/>
      <protection locked="0"/>
    </xf>
    <xf numFmtId="0" fontId="5" fillId="3" borderId="19" xfId="3" applyFont="1" applyFill="1" applyBorder="1" applyAlignment="1">
      <alignment horizontal="center" vertical="center"/>
    </xf>
    <xf numFmtId="0" fontId="5" fillId="3" borderId="16" xfId="3" applyFont="1" applyFill="1" applyBorder="1" applyAlignment="1">
      <alignment horizontal="center" vertical="center"/>
    </xf>
    <xf numFmtId="3" fontId="24" fillId="0" borderId="6" xfId="8" applyNumberFormat="1" applyFont="1" applyFill="1" applyBorder="1" applyAlignment="1">
      <alignment horizontal="center" vertical="center" wrapText="1"/>
    </xf>
    <xf numFmtId="3" fontId="24" fillId="0" borderId="9" xfId="8" applyNumberFormat="1" applyFont="1" applyFill="1" applyBorder="1" applyAlignment="1">
      <alignment horizontal="center" vertical="center" wrapText="1"/>
    </xf>
    <xf numFmtId="3" fontId="24" fillId="0" borderId="8" xfId="8" applyNumberFormat="1" applyFont="1" applyFill="1" applyBorder="1" applyAlignment="1">
      <alignment horizontal="center" vertical="center" wrapText="1"/>
    </xf>
    <xf numFmtId="3" fontId="24" fillId="0" borderId="17" xfId="8" applyNumberFormat="1" applyFont="1" applyFill="1" applyBorder="1" applyAlignment="1">
      <alignment vertical="center" wrapText="1"/>
    </xf>
    <xf numFmtId="0" fontId="24" fillId="0" borderId="17" xfId="8" applyFont="1" applyFill="1" applyBorder="1" applyAlignment="1">
      <alignment vertical="center"/>
    </xf>
    <xf numFmtId="3" fontId="24" fillId="0" borderId="20" xfId="8" applyNumberFormat="1" applyFont="1" applyFill="1" applyBorder="1" applyAlignment="1">
      <alignment vertical="center" wrapText="1"/>
    </xf>
    <xf numFmtId="184" fontId="25" fillId="4" borderId="6" xfId="8" applyNumberFormat="1" applyFont="1" applyFill="1" applyBorder="1" applyAlignment="1">
      <alignment vertical="center" shrinkToFit="1"/>
    </xf>
    <xf numFmtId="184" fontId="25" fillId="4" borderId="9" xfId="8" applyNumberFormat="1" applyFont="1" applyFill="1" applyBorder="1" applyAlignment="1">
      <alignment vertical="center" shrinkToFit="1"/>
    </xf>
    <xf numFmtId="184" fontId="25" fillId="4" borderId="8" xfId="8" applyNumberFormat="1" applyFont="1" applyFill="1" applyBorder="1" applyAlignment="1">
      <alignment vertical="center" shrinkToFit="1"/>
    </xf>
    <xf numFmtId="185" fontId="25" fillId="0" borderId="9" xfId="8" applyNumberFormat="1" applyFont="1" applyFill="1" applyBorder="1" applyAlignment="1">
      <alignment horizontal="center" vertical="center" shrinkToFit="1"/>
    </xf>
    <xf numFmtId="186" fontId="25" fillId="4" borderId="6" xfId="8" applyNumberFormat="1" applyFont="1" applyFill="1" applyBorder="1" applyAlignment="1">
      <alignment vertical="center" shrinkToFit="1"/>
    </xf>
    <xf numFmtId="186" fontId="25" fillId="4" borderId="9" xfId="8" applyNumberFormat="1" applyFont="1" applyFill="1" applyBorder="1" applyAlignment="1">
      <alignment vertical="center" shrinkToFit="1"/>
    </xf>
    <xf numFmtId="186" fontId="25" fillId="4" borderId="8" xfId="8" applyNumberFormat="1" applyFont="1" applyFill="1" applyBorder="1" applyAlignment="1">
      <alignment vertical="center" shrinkToFit="1"/>
    </xf>
    <xf numFmtId="190" fontId="6" fillId="4" borderId="6" xfId="0" applyNumberFormat="1" applyFont="1" applyFill="1" applyBorder="1" applyAlignment="1">
      <alignment horizontal="center" vertical="center"/>
    </xf>
    <xf numFmtId="190" fontId="6" fillId="4" borderId="9" xfId="0" applyNumberFormat="1" applyFont="1" applyFill="1" applyBorder="1" applyAlignment="1">
      <alignment horizontal="center" vertical="center"/>
    </xf>
    <xf numFmtId="190" fontId="6" fillId="4" borderId="8" xfId="0" applyNumberFormat="1" applyFont="1" applyFill="1" applyBorder="1" applyAlignment="1">
      <alignment horizontal="center" vertical="center"/>
    </xf>
    <xf numFmtId="190" fontId="6" fillId="0" borderId="6" xfId="0" applyNumberFormat="1" applyFont="1" applyBorder="1" applyAlignment="1">
      <alignment horizontal="center" vertical="center"/>
    </xf>
    <xf numFmtId="190" fontId="6" fillId="0" borderId="9" xfId="0" applyNumberFormat="1" applyFont="1" applyBorder="1" applyAlignment="1">
      <alignment horizontal="center" vertical="center"/>
    </xf>
    <xf numFmtId="190" fontId="6" fillId="0" borderId="8" xfId="0" applyNumberFormat="1" applyFont="1" applyBorder="1" applyAlignment="1">
      <alignment horizontal="center" vertical="center"/>
    </xf>
    <xf numFmtId="38" fontId="6" fillId="0" borderId="4" xfId="4" applyFont="1" applyBorder="1" applyAlignment="1">
      <alignment horizontal="center" vertical="center"/>
    </xf>
    <xf numFmtId="3" fontId="24" fillId="0" borderId="4" xfId="8" applyNumberFormat="1" applyFont="1" applyFill="1" applyBorder="1" applyAlignment="1">
      <alignment horizontal="center" vertical="center"/>
    </xf>
    <xf numFmtId="184" fontId="24" fillId="0" borderId="9" xfId="8" applyNumberFormat="1" applyFont="1" applyFill="1" applyBorder="1" applyAlignment="1">
      <alignment horizontal="center" vertical="center" wrapText="1"/>
    </xf>
    <xf numFmtId="184" fontId="24" fillId="0" borderId="8" xfId="8" applyNumberFormat="1" applyFont="1" applyFill="1" applyBorder="1" applyAlignment="1">
      <alignment horizontal="center" vertical="center" wrapText="1"/>
    </xf>
    <xf numFmtId="185" fontId="25" fillId="0" borderId="9" xfId="8" quotePrefix="1" applyNumberFormat="1" applyFont="1" applyFill="1" applyBorder="1" applyAlignment="1">
      <alignment horizontal="center" vertical="center" shrinkToFit="1"/>
    </xf>
    <xf numFmtId="0" fontId="6" fillId="0" borderId="8" xfId="0" applyFont="1" applyBorder="1" applyAlignment="1">
      <alignment horizontal="center" vertical="center"/>
    </xf>
    <xf numFmtId="0" fontId="6" fillId="0" borderId="4" xfId="0" applyFont="1" applyBorder="1" applyAlignment="1">
      <alignment horizontal="center" vertical="center"/>
    </xf>
    <xf numFmtId="3" fontId="24" fillId="0" borderId="19" xfId="8" applyNumberFormat="1" applyFont="1" applyFill="1" applyBorder="1" applyAlignment="1">
      <alignment horizontal="center" vertical="center" wrapText="1"/>
    </xf>
    <xf numFmtId="3" fontId="24" fillId="0" borderId="16" xfId="8" applyNumberFormat="1" applyFont="1" applyFill="1" applyBorder="1" applyAlignment="1">
      <alignment horizontal="center" vertical="center" wrapText="1"/>
    </xf>
    <xf numFmtId="3" fontId="24" fillId="0" borderId="21" xfId="8" applyNumberFormat="1" applyFont="1" applyFill="1" applyBorder="1" applyAlignment="1">
      <alignment horizontal="center" vertical="center" wrapText="1"/>
    </xf>
    <xf numFmtId="3" fontId="24" fillId="0" borderId="15" xfId="8" applyNumberFormat="1" applyFont="1" applyFill="1" applyBorder="1" applyAlignment="1">
      <alignment horizontal="center" vertical="center" wrapText="1"/>
    </xf>
    <xf numFmtId="3" fontId="24" fillId="0" borderId="20" xfId="8" applyNumberFormat="1" applyFont="1" applyFill="1" applyBorder="1" applyAlignment="1">
      <alignment horizontal="center" vertical="center" wrapText="1"/>
    </xf>
    <xf numFmtId="3" fontId="24" fillId="0" borderId="13" xfId="8" applyNumberFormat="1" applyFont="1" applyFill="1" applyBorder="1" applyAlignment="1">
      <alignment horizontal="center" vertical="center" wrapText="1"/>
    </xf>
    <xf numFmtId="1" fontId="6" fillId="0" borderId="6" xfId="0" applyNumberFormat="1" applyFont="1" applyBorder="1" applyAlignment="1">
      <alignment horizontal="center" vertical="center"/>
    </xf>
    <xf numFmtId="1" fontId="6" fillId="0" borderId="9" xfId="0" applyNumberFormat="1" applyFont="1" applyBorder="1" applyAlignment="1">
      <alignment horizontal="center" vertical="center"/>
    </xf>
    <xf numFmtId="1" fontId="6" fillId="0" borderId="8" xfId="0" applyNumberFormat="1" applyFont="1" applyBorder="1" applyAlignment="1">
      <alignment horizontal="center" vertical="center"/>
    </xf>
    <xf numFmtId="0" fontId="6" fillId="0" borderId="6" xfId="0" applyNumberFormat="1" applyFont="1" applyBorder="1" applyAlignment="1">
      <alignment horizontal="center" vertical="center"/>
    </xf>
    <xf numFmtId="0" fontId="6" fillId="0" borderId="9" xfId="0" applyNumberFormat="1" applyFont="1" applyBorder="1" applyAlignment="1">
      <alignment horizontal="center" vertical="center"/>
    </xf>
    <xf numFmtId="0" fontId="6" fillId="0" borderId="8" xfId="0" applyNumberFormat="1" applyFont="1" applyBorder="1" applyAlignment="1">
      <alignment horizontal="center" vertical="center"/>
    </xf>
    <xf numFmtId="184" fontId="6" fillId="0" borderId="6" xfId="0" applyNumberFormat="1" applyFont="1" applyBorder="1" applyAlignment="1">
      <alignment horizontal="center" vertical="center"/>
    </xf>
    <xf numFmtId="0" fontId="83" fillId="0" borderId="46" xfId="12" applyFont="1" applyBorder="1" applyAlignment="1" applyProtection="1">
      <alignment horizontal="center" vertical="center"/>
    </xf>
    <xf numFmtId="0" fontId="83" fillId="0" borderId="49" xfId="12" applyFont="1" applyBorder="1" applyAlignment="1" applyProtection="1">
      <alignment horizontal="center" vertical="center"/>
    </xf>
    <xf numFmtId="0" fontId="83" fillId="0" borderId="7" xfId="12" applyFont="1" applyBorder="1" applyAlignment="1" applyProtection="1">
      <alignment horizontal="center" vertical="center"/>
    </xf>
    <xf numFmtId="0" fontId="83" fillId="0" borderId="53" xfId="12" applyFont="1" applyBorder="1" applyAlignment="1" applyProtection="1">
      <alignment horizontal="center" vertical="center"/>
    </xf>
    <xf numFmtId="0" fontId="5" fillId="0" borderId="503" xfId="12" applyFont="1" applyBorder="1" applyAlignment="1" applyProtection="1">
      <alignment horizontal="center" vertical="center"/>
    </xf>
    <xf numFmtId="0" fontId="5" fillId="0" borderId="502" xfId="12" applyFont="1" applyBorder="1" applyAlignment="1" applyProtection="1">
      <alignment horizontal="center" vertical="center"/>
    </xf>
    <xf numFmtId="0" fontId="84" fillId="0" borderId="20" xfId="12" applyFont="1" applyBorder="1" applyAlignment="1" applyProtection="1">
      <alignment horizontal="left" vertical="center" wrapText="1"/>
    </xf>
    <xf numFmtId="0" fontId="84" fillId="0" borderId="95" xfId="12" applyFont="1" applyBorder="1" applyAlignment="1" applyProtection="1">
      <alignment horizontal="left" vertical="center" wrapText="1"/>
    </xf>
    <xf numFmtId="0" fontId="83" fillId="0" borderId="19" xfId="12" applyFont="1" applyBorder="1" applyAlignment="1" applyProtection="1">
      <alignment horizontal="left" vertical="center"/>
    </xf>
    <xf numFmtId="0" fontId="83" fillId="0" borderId="43" xfId="12" applyFont="1" applyBorder="1" applyAlignment="1" applyProtection="1">
      <alignment horizontal="left" vertical="center"/>
    </xf>
    <xf numFmtId="0" fontId="83" fillId="0" borderId="21" xfId="12" applyFont="1" applyBorder="1" applyAlignment="1" applyProtection="1">
      <alignment horizontal="left" vertical="center"/>
    </xf>
    <xf numFmtId="0" fontId="83" fillId="0" borderId="34" xfId="12" applyFont="1" applyBorder="1" applyAlignment="1" applyProtection="1">
      <alignment horizontal="left" vertical="center"/>
    </xf>
    <xf numFmtId="0" fontId="83" fillId="0" borderId="55" xfId="12" applyFont="1" applyBorder="1" applyAlignment="1" applyProtection="1">
      <alignment horizontal="left" vertical="top" wrapText="1"/>
    </xf>
    <xf numFmtId="0" fontId="83" fillId="0" borderId="39" xfId="12" applyFont="1" applyBorder="1" applyAlignment="1" applyProtection="1">
      <alignment horizontal="left" vertical="top"/>
    </xf>
    <xf numFmtId="0" fontId="0" fillId="0" borderId="6" xfId="0"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6" fillId="2" borderId="47" xfId="0" applyFont="1" applyFill="1" applyBorder="1" applyAlignment="1">
      <alignment horizontal="center" vertical="center" wrapText="1"/>
    </xf>
    <xf numFmtId="0" fontId="6" fillId="2" borderId="50" xfId="0" applyFont="1" applyFill="1" applyBorder="1" applyAlignment="1">
      <alignment horizontal="center" vertical="center" wrapText="1"/>
    </xf>
    <xf numFmtId="0" fontId="6" fillId="2" borderId="48" xfId="0" applyFont="1" applyFill="1" applyBorder="1" applyAlignment="1">
      <alignment horizontal="center" vertical="center" wrapText="1"/>
    </xf>
    <xf numFmtId="0" fontId="0" fillId="0" borderId="144" xfId="0" applyBorder="1" applyAlignment="1">
      <alignment horizontal="center" vertical="center"/>
    </xf>
    <xf numFmtId="0" fontId="0" fillId="0" borderId="124" xfId="0" applyBorder="1" applyAlignment="1">
      <alignment horizontal="center" vertical="center"/>
    </xf>
    <xf numFmtId="0" fontId="0" fillId="0" borderId="123" xfId="0" applyBorder="1" applyAlignment="1">
      <alignment horizontal="center" vertical="center"/>
    </xf>
    <xf numFmtId="0" fontId="27" fillId="0" borderId="6" xfId="0" applyFont="1" applyBorder="1" applyAlignment="1" applyProtection="1">
      <alignment horizontal="center" vertical="center"/>
    </xf>
    <xf numFmtId="0" fontId="10" fillId="0" borderId="3" xfId="0" applyFont="1" applyFill="1" applyBorder="1" applyAlignment="1" applyProtection="1">
      <alignment horizontal="center" vertical="center" shrinkToFit="1"/>
    </xf>
    <xf numFmtId="0" fontId="10" fillId="2" borderId="0" xfId="0" applyFont="1" applyFill="1" applyAlignment="1" applyProtection="1">
      <alignment horizontal="left" vertical="center" wrapText="1"/>
    </xf>
    <xf numFmtId="214" fontId="10" fillId="2" borderId="497" xfId="0" applyNumberFormat="1" applyFont="1" applyFill="1" applyBorder="1" applyAlignment="1" applyProtection="1">
      <alignment horizontal="center" vertical="center"/>
    </xf>
    <xf numFmtId="214" fontId="10" fillId="2" borderId="498" xfId="0" applyNumberFormat="1" applyFont="1" applyFill="1" applyBorder="1" applyAlignment="1" applyProtection="1">
      <alignment horizontal="center" vertical="center"/>
    </xf>
    <xf numFmtId="0" fontId="10" fillId="4" borderId="478" xfId="0" applyFont="1" applyFill="1" applyBorder="1" applyAlignment="1" applyProtection="1">
      <alignment horizontal="center" vertical="center"/>
      <protection locked="0"/>
    </xf>
    <xf numFmtId="0" fontId="10" fillId="2" borderId="4" xfId="0" applyFont="1" applyFill="1" applyBorder="1" applyAlignment="1" applyProtection="1">
      <alignment horizontal="center" vertical="center" wrapText="1"/>
    </xf>
    <xf numFmtId="0" fontId="10" fillId="0" borderId="4" xfId="0" applyFont="1" applyBorder="1" applyAlignment="1" applyProtection="1">
      <alignment horizontal="center" vertical="center"/>
    </xf>
    <xf numFmtId="0" fontId="10" fillId="0" borderId="62" xfId="0" applyFont="1" applyBorder="1" applyAlignment="1" applyProtection="1">
      <alignment horizontal="center" vertical="center"/>
    </xf>
    <xf numFmtId="0" fontId="10" fillId="2" borderId="144" xfId="0" applyFont="1" applyFill="1" applyBorder="1" applyAlignment="1" applyProtection="1">
      <alignment horizontal="center" vertical="center" shrinkToFit="1"/>
    </xf>
    <xf numFmtId="192" fontId="10" fillId="5" borderId="488" xfId="0" applyNumberFormat="1" applyFont="1" applyFill="1" applyBorder="1" applyAlignment="1" applyProtection="1">
      <alignment horizontal="center" vertical="center" shrinkToFit="1"/>
      <protection locked="0"/>
    </xf>
    <xf numFmtId="0" fontId="10" fillId="2" borderId="0" xfId="0" applyFont="1" applyFill="1" applyBorder="1" applyAlignment="1" applyProtection="1">
      <alignment horizontal="left" vertical="center" wrapText="1"/>
    </xf>
    <xf numFmtId="0" fontId="28" fillId="0" borderId="28" xfId="0" applyFont="1" applyFill="1" applyBorder="1" applyAlignment="1" applyProtection="1">
      <alignment horizontal="center" vertical="center" shrinkToFit="1"/>
    </xf>
    <xf numFmtId="0" fontId="28" fillId="0" borderId="54" xfId="0" applyFont="1" applyFill="1" applyBorder="1" applyAlignment="1" applyProtection="1">
      <alignment horizontal="center" vertical="center" shrinkToFit="1"/>
    </xf>
    <xf numFmtId="194" fontId="10" fillId="2" borderId="478" xfId="0" applyNumberFormat="1" applyFont="1" applyFill="1" applyBorder="1" applyAlignment="1" applyProtection="1">
      <alignment horizontal="center" vertical="center" shrinkToFit="1"/>
    </xf>
    <xf numFmtId="0" fontId="40" fillId="4" borderId="66" xfId="0" applyFont="1" applyFill="1" applyBorder="1" applyAlignment="1" applyProtection="1">
      <alignment horizontal="left" vertical="center" wrapText="1" shrinkToFit="1"/>
      <protection locked="0"/>
    </xf>
    <xf numFmtId="0" fontId="40" fillId="4" borderId="67" xfId="0" applyFont="1" applyFill="1" applyBorder="1" applyAlignment="1" applyProtection="1">
      <alignment horizontal="left" vertical="center" wrapText="1" shrinkToFit="1"/>
      <protection locked="0"/>
    </xf>
    <xf numFmtId="0" fontId="40" fillId="4" borderId="10" xfId="0" applyFont="1" applyFill="1" applyBorder="1" applyAlignment="1" applyProtection="1">
      <alignment horizontal="left" vertical="center" wrapText="1" shrinkToFit="1"/>
      <protection locked="0"/>
    </xf>
    <xf numFmtId="0" fontId="40" fillId="4" borderId="13" xfId="0" applyFont="1" applyFill="1" applyBorder="1" applyAlignment="1" applyProtection="1">
      <alignment horizontal="left" vertical="center" wrapText="1" shrinkToFit="1"/>
      <protection locked="0"/>
    </xf>
    <xf numFmtId="0" fontId="10" fillId="2" borderId="66" xfId="0" applyFont="1" applyFill="1" applyBorder="1" applyAlignment="1" applyProtection="1">
      <alignment horizontal="center" vertical="center" wrapText="1" shrinkToFit="1"/>
    </xf>
    <xf numFmtId="0" fontId="10" fillId="2" borderId="10" xfId="0" applyFont="1" applyFill="1" applyBorder="1" applyAlignment="1" applyProtection="1">
      <alignment horizontal="center" vertical="center" wrapText="1" shrinkToFit="1"/>
    </xf>
    <xf numFmtId="192" fontId="10" fillId="4" borderId="19" xfId="0" applyNumberFormat="1" applyFont="1" applyFill="1" applyBorder="1" applyAlignment="1" applyProtection="1">
      <alignment horizontal="center" vertical="center" shrinkToFit="1"/>
      <protection locked="0"/>
    </xf>
    <xf numFmtId="192" fontId="10" fillId="4" borderId="32" xfId="0" applyNumberFormat="1" applyFont="1" applyFill="1" applyBorder="1" applyAlignment="1" applyProtection="1">
      <alignment horizontal="center" vertical="center" shrinkToFit="1"/>
      <protection locked="0"/>
    </xf>
    <xf numFmtId="0" fontId="10" fillId="2" borderId="32" xfId="0" applyFont="1" applyFill="1" applyBorder="1" applyAlignment="1" applyProtection="1">
      <alignment horizontal="center" vertical="center" shrinkToFit="1"/>
    </xf>
    <xf numFmtId="183" fontId="10" fillId="2" borderId="123" xfId="0" applyNumberFormat="1" applyFont="1" applyFill="1" applyBorder="1" applyAlignment="1" applyProtection="1">
      <alignment horizontal="center" vertical="center" shrinkToFit="1"/>
    </xf>
    <xf numFmtId="0" fontId="10" fillId="6" borderId="99" xfId="0" applyFont="1" applyFill="1" applyBorder="1" applyAlignment="1" applyProtection="1">
      <alignment horizontal="center" vertical="center"/>
      <protection locked="0"/>
    </xf>
    <xf numFmtId="0" fontId="10" fillId="6" borderId="100" xfId="0" applyFont="1" applyFill="1" applyBorder="1" applyAlignment="1" applyProtection="1">
      <alignment horizontal="center" vertical="center"/>
      <protection locked="0"/>
    </xf>
    <xf numFmtId="0" fontId="10" fillId="6" borderId="101" xfId="0" applyFont="1" applyFill="1" applyBorder="1" applyAlignment="1" applyProtection="1">
      <alignment horizontal="center" vertical="center"/>
      <protection locked="0"/>
    </xf>
    <xf numFmtId="183" fontId="10" fillId="0" borderId="21" xfId="0" applyNumberFormat="1" applyFont="1" applyFill="1" applyBorder="1" applyAlignment="1" applyProtection="1">
      <alignment horizontal="center" vertical="center" shrinkToFit="1"/>
    </xf>
    <xf numFmtId="183" fontId="10" fillId="0" borderId="0" xfId="0" applyNumberFormat="1" applyFont="1" applyFill="1" applyBorder="1" applyAlignment="1" applyProtection="1">
      <alignment horizontal="center" vertical="center" shrinkToFit="1"/>
    </xf>
    <xf numFmtId="194" fontId="10" fillId="2" borderId="479" xfId="0" applyNumberFormat="1" applyFont="1" applyFill="1" applyBorder="1" applyAlignment="1" applyProtection="1">
      <alignment horizontal="center" vertical="center" shrinkToFit="1"/>
    </xf>
    <xf numFmtId="0" fontId="10" fillId="2" borderId="100" xfId="0" applyFont="1" applyFill="1" applyBorder="1" applyAlignment="1" applyProtection="1">
      <alignment horizontal="left" vertical="center" wrapText="1"/>
    </xf>
    <xf numFmtId="0" fontId="10" fillId="2" borderId="101" xfId="0" applyFont="1" applyFill="1" applyBorder="1" applyAlignment="1" applyProtection="1">
      <alignment horizontal="left" vertical="center" wrapText="1"/>
    </xf>
    <xf numFmtId="0" fontId="10" fillId="2" borderId="89" xfId="0" applyFont="1" applyFill="1" applyBorder="1" applyAlignment="1" applyProtection="1">
      <alignment horizontal="center" vertical="center"/>
    </xf>
    <xf numFmtId="0" fontId="10" fillId="5" borderId="112" xfId="0" applyFont="1" applyFill="1" applyBorder="1" applyAlignment="1" applyProtection="1">
      <alignment horizontal="center" vertical="center"/>
    </xf>
    <xf numFmtId="0" fontId="10" fillId="5" borderId="495" xfId="0" applyFont="1" applyFill="1" applyBorder="1" applyAlignment="1" applyProtection="1">
      <alignment horizontal="center" vertical="center"/>
    </xf>
    <xf numFmtId="0" fontId="10" fillId="4" borderId="89" xfId="0" applyFont="1" applyFill="1" applyBorder="1" applyAlignment="1" applyProtection="1">
      <alignment horizontal="center" vertical="center" shrinkToFit="1"/>
      <protection locked="0"/>
    </xf>
    <xf numFmtId="0" fontId="10" fillId="4" borderId="90" xfId="0" applyFont="1" applyFill="1" applyBorder="1" applyAlignment="1" applyProtection="1">
      <alignment horizontal="center" vertical="center" shrinkToFit="1"/>
      <protection locked="0"/>
    </xf>
    <xf numFmtId="0" fontId="10" fillId="6" borderId="117" xfId="0" applyFont="1" applyFill="1" applyBorder="1" applyAlignment="1" applyProtection="1">
      <alignment horizontal="center" vertical="center"/>
      <protection locked="0"/>
    </xf>
    <xf numFmtId="0" fontId="10" fillId="6" borderId="118" xfId="0" applyFont="1" applyFill="1" applyBorder="1" applyAlignment="1" applyProtection="1">
      <alignment horizontal="center" vertical="center"/>
      <protection locked="0"/>
    </xf>
    <xf numFmtId="0" fontId="10" fillId="6" borderId="119" xfId="0" applyFont="1" applyFill="1" applyBorder="1" applyAlignment="1" applyProtection="1">
      <alignment horizontal="center" vertical="center"/>
      <protection locked="0"/>
    </xf>
    <xf numFmtId="0" fontId="35" fillId="2" borderId="0" xfId="0" applyFont="1" applyFill="1" applyBorder="1" applyAlignment="1" applyProtection="1">
      <alignment horizontal="left" vertical="center" shrinkToFit="1"/>
    </xf>
    <xf numFmtId="0" fontId="10" fillId="2" borderId="18" xfId="0" applyFont="1" applyFill="1" applyBorder="1" applyAlignment="1" applyProtection="1">
      <alignment horizontal="center" vertical="center" wrapText="1"/>
    </xf>
    <xf numFmtId="0" fontId="10" fillId="2" borderId="14" xfId="0" applyFont="1" applyFill="1" applyBorder="1" applyAlignment="1" applyProtection="1">
      <alignment horizontal="center" vertical="center" wrapText="1"/>
    </xf>
    <xf numFmtId="0" fontId="28" fillId="0" borderId="21" xfId="0" applyFont="1" applyFill="1" applyBorder="1" applyAlignment="1" applyProtection="1">
      <alignment horizontal="center" vertical="center" shrinkToFit="1"/>
    </xf>
    <xf numFmtId="0" fontId="28" fillId="0" borderId="0" xfId="0" applyFont="1" applyFill="1" applyBorder="1" applyAlignment="1" applyProtection="1">
      <alignment horizontal="center" vertical="center" shrinkToFit="1"/>
    </xf>
    <xf numFmtId="0" fontId="28" fillId="0" borderId="5" xfId="0" applyFont="1" applyFill="1" applyBorder="1" applyAlignment="1" applyProtection="1">
      <alignment horizontal="center" vertical="center" shrinkToFit="1"/>
    </xf>
    <xf numFmtId="183" fontId="10" fillId="2" borderId="124" xfId="0" applyNumberFormat="1" applyFont="1" applyFill="1" applyBorder="1" applyAlignment="1" applyProtection="1">
      <alignment horizontal="center" vertical="center" shrinkToFit="1"/>
    </xf>
    <xf numFmtId="192" fontId="10" fillId="4" borderId="481" xfId="0" applyNumberFormat="1" applyFont="1" applyFill="1" applyBorder="1" applyAlignment="1" applyProtection="1">
      <alignment horizontal="center" vertical="center" shrinkToFit="1"/>
      <protection locked="0"/>
    </xf>
    <xf numFmtId="192" fontId="10" fillId="4" borderId="482" xfId="0" applyNumberFormat="1" applyFont="1" applyFill="1" applyBorder="1" applyAlignment="1" applyProtection="1">
      <alignment horizontal="center" vertical="center" shrinkToFit="1"/>
      <protection locked="0"/>
    </xf>
    <xf numFmtId="192" fontId="10" fillId="5" borderId="489" xfId="0" applyNumberFormat="1" applyFont="1" applyFill="1" applyBorder="1" applyAlignment="1" applyProtection="1">
      <alignment horizontal="center" vertical="center" shrinkToFit="1"/>
      <protection locked="0"/>
    </xf>
    <xf numFmtId="0" fontId="10" fillId="0" borderId="6" xfId="0" applyFont="1" applyBorder="1" applyAlignment="1" applyProtection="1">
      <alignment horizontal="center" vertical="center"/>
    </xf>
    <xf numFmtId="0" fontId="10" fillId="0" borderId="8" xfId="0" applyFont="1" applyBorder="1" applyAlignment="1" applyProtection="1">
      <alignment horizontal="center" vertical="center"/>
    </xf>
    <xf numFmtId="0" fontId="10" fillId="2" borderId="118" xfId="0" applyFont="1" applyFill="1" applyBorder="1" applyAlignment="1" applyProtection="1">
      <alignment horizontal="left" vertical="center" shrinkToFit="1"/>
    </xf>
    <xf numFmtId="0" fontId="10" fillId="2" borderId="19" xfId="0" applyFont="1" applyFill="1" applyBorder="1" applyAlignment="1" applyProtection="1">
      <alignment horizontal="center" vertical="center"/>
    </xf>
    <xf numFmtId="0" fontId="10" fillId="2" borderId="32" xfId="0" applyFont="1" applyFill="1" applyBorder="1" applyAlignment="1" applyProtection="1">
      <alignment horizontal="center" vertical="center"/>
    </xf>
    <xf numFmtId="0" fontId="10" fillId="2" borderId="16" xfId="0" applyFont="1" applyFill="1" applyBorder="1" applyAlignment="1" applyProtection="1">
      <alignment horizontal="center" vertical="center"/>
    </xf>
    <xf numFmtId="0" fontId="10" fillId="2" borderId="21" xfId="0" applyFont="1" applyFill="1" applyBorder="1" applyAlignment="1" applyProtection="1">
      <alignment horizontal="center" vertical="center"/>
    </xf>
    <xf numFmtId="0" fontId="10" fillId="2" borderId="0" xfId="0" applyFont="1" applyFill="1" applyBorder="1" applyAlignment="1" applyProtection="1">
      <alignment horizontal="center" vertical="center"/>
    </xf>
    <xf numFmtId="0" fontId="10" fillId="2" borderId="15" xfId="0" applyFont="1" applyFill="1" applyBorder="1" applyAlignment="1" applyProtection="1">
      <alignment horizontal="center" vertical="center"/>
    </xf>
    <xf numFmtId="0" fontId="10" fillId="2" borderId="20" xfId="0" applyFont="1" applyFill="1" applyBorder="1" applyAlignment="1" applyProtection="1">
      <alignment horizontal="center" vertical="center"/>
    </xf>
    <xf numFmtId="0" fontId="10" fillId="2" borderId="10" xfId="0" applyFont="1" applyFill="1" applyBorder="1" applyAlignment="1" applyProtection="1">
      <alignment horizontal="center" vertical="center"/>
    </xf>
    <xf numFmtId="0" fontId="10" fillId="2" borderId="13" xfId="0" applyFont="1" applyFill="1" applyBorder="1" applyAlignment="1" applyProtection="1">
      <alignment horizontal="center" vertical="center"/>
    </xf>
    <xf numFmtId="0" fontId="10" fillId="2" borderId="14" xfId="0" applyFont="1" applyFill="1" applyBorder="1" applyAlignment="1" applyProtection="1">
      <alignment horizontal="center" vertical="center"/>
    </xf>
    <xf numFmtId="0" fontId="10" fillId="2" borderId="4" xfId="0" applyFont="1" applyFill="1" applyBorder="1" applyAlignment="1" applyProtection="1">
      <alignment horizontal="center" vertical="center"/>
    </xf>
    <xf numFmtId="0" fontId="28" fillId="2" borderId="18" xfId="0" applyFont="1" applyFill="1" applyBorder="1" applyAlignment="1" applyProtection="1">
      <alignment horizontal="left" vertical="center" wrapText="1"/>
    </xf>
    <xf numFmtId="0" fontId="28" fillId="2" borderId="14" xfId="0" applyFont="1" applyFill="1" applyBorder="1" applyAlignment="1" applyProtection="1">
      <alignment horizontal="left" vertical="center" wrapText="1"/>
    </xf>
    <xf numFmtId="0" fontId="10" fillId="2" borderId="17" xfId="0" applyFont="1" applyFill="1" applyBorder="1" applyAlignment="1" applyProtection="1">
      <alignment horizontal="center" vertical="center" wrapText="1"/>
    </xf>
    <xf numFmtId="0" fontId="10" fillId="2" borderId="21" xfId="0" applyFont="1" applyFill="1" applyBorder="1" applyAlignment="1" applyProtection="1">
      <alignment horizontal="left" vertical="center" wrapText="1"/>
    </xf>
    <xf numFmtId="0" fontId="10" fillId="2" borderId="15" xfId="0" applyFont="1" applyFill="1" applyBorder="1" applyAlignment="1" applyProtection="1">
      <alignment horizontal="left" vertical="center" wrapText="1"/>
    </xf>
    <xf numFmtId="0" fontId="14" fillId="2" borderId="40" xfId="0" applyFont="1" applyFill="1" applyBorder="1" applyAlignment="1" applyProtection="1">
      <alignment horizontal="center" vertical="center" shrinkToFit="1"/>
    </xf>
    <xf numFmtId="0" fontId="14" fillId="2" borderId="41" xfId="0" applyFont="1" applyFill="1" applyBorder="1" applyAlignment="1" applyProtection="1">
      <alignment horizontal="center" vertical="center" shrinkToFit="1"/>
    </xf>
    <xf numFmtId="0" fontId="14" fillId="2" borderId="42" xfId="0" applyFont="1" applyFill="1" applyBorder="1" applyAlignment="1" applyProtection="1">
      <alignment horizontal="center" vertical="center" shrinkToFit="1"/>
    </xf>
    <xf numFmtId="192" fontId="10" fillId="5" borderId="487" xfId="0" applyNumberFormat="1" applyFont="1" applyFill="1" applyBorder="1" applyAlignment="1" applyProtection="1">
      <alignment horizontal="center" vertical="center" shrinkToFit="1"/>
      <protection locked="0"/>
    </xf>
    <xf numFmtId="0" fontId="10" fillId="4" borderId="485" xfId="0" applyFont="1" applyFill="1" applyBorder="1" applyAlignment="1" applyProtection="1">
      <alignment horizontal="center" vertical="center" shrinkToFit="1"/>
      <protection locked="0"/>
    </xf>
    <xf numFmtId="0" fontId="10" fillId="4" borderId="157" xfId="0" applyFont="1" applyFill="1" applyBorder="1" applyAlignment="1" applyProtection="1">
      <alignment horizontal="center" vertical="center" shrinkToFit="1"/>
      <protection locked="0"/>
    </xf>
    <xf numFmtId="0" fontId="28" fillId="2" borderId="19" xfId="0" applyFont="1" applyFill="1" applyBorder="1" applyAlignment="1" applyProtection="1">
      <alignment horizontal="center" vertical="center" wrapText="1"/>
    </xf>
    <xf numFmtId="0" fontId="28" fillId="2" borderId="32" xfId="0" applyFont="1" applyFill="1" applyBorder="1" applyAlignment="1" applyProtection="1">
      <alignment horizontal="center" vertical="center" wrapText="1"/>
    </xf>
    <xf numFmtId="0" fontId="28" fillId="2" borderId="16" xfId="0" applyFont="1" applyFill="1" applyBorder="1" applyAlignment="1" applyProtection="1">
      <alignment horizontal="center" vertical="center" wrapText="1"/>
    </xf>
    <xf numFmtId="0" fontId="28" fillId="2" borderId="21" xfId="0" applyFont="1" applyFill="1" applyBorder="1" applyAlignment="1" applyProtection="1">
      <alignment horizontal="center" vertical="center" wrapText="1"/>
    </xf>
    <xf numFmtId="0" fontId="28" fillId="2" borderId="0" xfId="0" applyFont="1" applyFill="1" applyBorder="1" applyAlignment="1" applyProtection="1">
      <alignment horizontal="center" vertical="center" wrapText="1"/>
    </xf>
    <xf numFmtId="0" fontId="28" fillId="2" borderId="15" xfId="0" applyFont="1" applyFill="1" applyBorder="1" applyAlignment="1" applyProtection="1">
      <alignment horizontal="center" vertical="center" wrapText="1"/>
    </xf>
    <xf numFmtId="0" fontId="28" fillId="2" borderId="20" xfId="0" applyFont="1" applyFill="1" applyBorder="1" applyAlignment="1" applyProtection="1">
      <alignment horizontal="center" vertical="center" wrapText="1"/>
    </xf>
    <xf numFmtId="0" fontId="28" fillId="2" borderId="10" xfId="0" applyFont="1" applyFill="1" applyBorder="1" applyAlignment="1" applyProtection="1">
      <alignment horizontal="center" vertical="center" wrapText="1"/>
    </xf>
    <xf numFmtId="0" fontId="28" fillId="2" borderId="13" xfId="0" applyFont="1" applyFill="1" applyBorder="1" applyAlignment="1" applyProtection="1">
      <alignment horizontal="center" vertical="center" wrapText="1"/>
    </xf>
    <xf numFmtId="192" fontId="28" fillId="6" borderId="103" xfId="0" applyNumberFormat="1" applyFont="1" applyFill="1" applyBorder="1" applyAlignment="1" applyProtection="1">
      <alignment horizontal="center" vertical="center" shrinkToFit="1"/>
      <protection locked="0"/>
    </xf>
    <xf numFmtId="0" fontId="10" fillId="2" borderId="104" xfId="0" applyFont="1" applyFill="1" applyBorder="1" applyAlignment="1" applyProtection="1">
      <alignment horizontal="center" vertical="center"/>
    </xf>
    <xf numFmtId="0" fontId="10" fillId="2" borderId="103" xfId="0" applyFont="1" applyFill="1" applyBorder="1" applyAlignment="1" applyProtection="1">
      <alignment horizontal="center" vertical="center"/>
    </xf>
    <xf numFmtId="0" fontId="10" fillId="2" borderId="129" xfId="0" applyFont="1" applyFill="1" applyBorder="1" applyAlignment="1" applyProtection="1">
      <alignment horizontal="center" vertical="center"/>
    </xf>
    <xf numFmtId="0" fontId="10" fillId="2" borderId="121" xfId="0" applyFont="1" applyFill="1" applyBorder="1" applyAlignment="1" applyProtection="1">
      <alignment horizontal="center" vertical="center"/>
    </xf>
    <xf numFmtId="0" fontId="28" fillId="2" borderId="32" xfId="0" applyFont="1" applyFill="1" applyBorder="1" applyAlignment="1" applyProtection="1">
      <alignment horizontal="left" vertical="center"/>
    </xf>
    <xf numFmtId="0" fontId="28" fillId="2" borderId="16" xfId="0" applyFont="1" applyFill="1" applyBorder="1" applyAlignment="1" applyProtection="1">
      <alignment horizontal="left" vertical="center"/>
    </xf>
    <xf numFmtId="0" fontId="27" fillId="0" borderId="8" xfId="0" applyFont="1" applyBorder="1" applyAlignment="1" applyProtection="1">
      <alignment horizontal="center" vertical="center"/>
    </xf>
    <xf numFmtId="0" fontId="10" fillId="2" borderId="130" xfId="0" applyFont="1" applyFill="1" applyBorder="1" applyAlignment="1" applyProtection="1">
      <alignment horizontal="left" vertical="center" wrapText="1"/>
    </xf>
    <xf numFmtId="0" fontId="10" fillId="2" borderId="131" xfId="0" applyFont="1" applyFill="1" applyBorder="1" applyAlignment="1" applyProtection="1">
      <alignment horizontal="left" vertical="center" wrapText="1"/>
    </xf>
    <xf numFmtId="0" fontId="28" fillId="2" borderId="19" xfId="0" applyFont="1" applyFill="1" applyBorder="1" applyAlignment="1" applyProtection="1">
      <alignment horizontal="left" vertical="center"/>
    </xf>
    <xf numFmtId="9" fontId="10" fillId="2" borderId="99" xfId="5" applyFont="1" applyFill="1" applyBorder="1" applyAlignment="1" applyProtection="1">
      <alignment horizontal="center" vertical="center" shrinkToFit="1"/>
    </xf>
    <xf numFmtId="9" fontId="10" fillId="2" borderId="101" xfId="5" applyFont="1" applyFill="1" applyBorder="1" applyAlignment="1" applyProtection="1">
      <alignment horizontal="center" vertical="center" shrinkToFit="1"/>
    </xf>
    <xf numFmtId="9" fontId="10" fillId="2" borderId="117" xfId="5" applyFont="1" applyFill="1" applyBorder="1" applyAlignment="1" applyProtection="1">
      <alignment horizontal="center" vertical="center" shrinkToFit="1"/>
    </xf>
    <xf numFmtId="9" fontId="10" fillId="2" borderId="119" xfId="5" applyFont="1" applyFill="1" applyBorder="1" applyAlignment="1" applyProtection="1">
      <alignment horizontal="center" vertical="center" shrinkToFit="1"/>
    </xf>
    <xf numFmtId="0" fontId="10" fillId="2" borderId="99" xfId="0" applyFont="1" applyFill="1" applyBorder="1" applyAlignment="1" applyProtection="1">
      <alignment horizontal="center" vertical="center" shrinkToFit="1"/>
    </xf>
    <xf numFmtId="0" fontId="10" fillId="2" borderId="100" xfId="0" applyFont="1" applyFill="1" applyBorder="1" applyAlignment="1" applyProtection="1">
      <alignment horizontal="center" vertical="center" shrinkToFit="1"/>
    </xf>
    <xf numFmtId="0" fontId="10" fillId="2" borderId="101" xfId="0" applyFont="1" applyFill="1" applyBorder="1" applyAlignment="1" applyProtection="1">
      <alignment horizontal="center" vertical="center" shrinkToFit="1"/>
    </xf>
    <xf numFmtId="192" fontId="10" fillId="4" borderId="480" xfId="0" applyNumberFormat="1" applyFont="1" applyFill="1" applyBorder="1" applyAlignment="1" applyProtection="1">
      <alignment horizontal="center" vertical="center" shrinkToFit="1"/>
      <protection locked="0"/>
    </xf>
    <xf numFmtId="0" fontId="10" fillId="0" borderId="19" xfId="0" applyFont="1" applyBorder="1" applyAlignment="1" applyProtection="1">
      <alignment horizontal="center" vertical="center"/>
    </xf>
    <xf numFmtId="0" fontId="10" fillId="0" borderId="20" xfId="0" applyFont="1" applyBorder="1" applyAlignment="1" applyProtection="1">
      <alignment horizontal="center" vertical="center"/>
    </xf>
    <xf numFmtId="194" fontId="10" fillId="2" borderId="477" xfId="0" applyNumberFormat="1" applyFont="1" applyFill="1" applyBorder="1" applyAlignment="1" applyProtection="1">
      <alignment horizontal="center" vertical="center" shrinkToFit="1"/>
    </xf>
    <xf numFmtId="0" fontId="10" fillId="2" borderId="123" xfId="0" applyFont="1" applyFill="1" applyBorder="1" applyAlignment="1" applyProtection="1">
      <alignment horizontal="center" vertical="center" shrinkToFit="1"/>
    </xf>
    <xf numFmtId="0" fontId="10" fillId="2" borderId="19" xfId="0" applyFont="1" applyFill="1" applyBorder="1" applyAlignment="1" applyProtection="1">
      <alignment horizontal="center" vertical="center" shrinkToFit="1"/>
    </xf>
    <xf numFmtId="0" fontId="10" fillId="2" borderId="16" xfId="0" applyFont="1" applyFill="1" applyBorder="1" applyAlignment="1" applyProtection="1">
      <alignment horizontal="center" vertical="center" shrinkToFit="1"/>
    </xf>
    <xf numFmtId="193" fontId="13" fillId="2" borderId="144" xfId="0" applyNumberFormat="1" applyFont="1" applyFill="1" applyBorder="1" applyAlignment="1" applyProtection="1">
      <alignment horizontal="center" vertical="center" shrinkToFit="1"/>
    </xf>
    <xf numFmtId="0" fontId="10" fillId="6" borderId="32" xfId="0" applyFont="1" applyFill="1" applyBorder="1" applyAlignment="1" applyProtection="1">
      <alignment horizontal="center" vertical="center" shrinkToFit="1"/>
      <protection locked="0"/>
    </xf>
    <xf numFmtId="0" fontId="10" fillId="2" borderId="9" xfId="0" applyFont="1" applyFill="1" applyBorder="1" applyAlignment="1" applyProtection="1">
      <alignment horizontal="left" vertical="center" wrapText="1"/>
    </xf>
    <xf numFmtId="0" fontId="10" fillId="2" borderId="19" xfId="0" applyFont="1" applyFill="1" applyBorder="1" applyAlignment="1" applyProtection="1">
      <alignment horizontal="center" vertical="center" wrapText="1"/>
    </xf>
    <xf numFmtId="0" fontId="10" fillId="2" borderId="32" xfId="0" applyFont="1" applyFill="1" applyBorder="1" applyAlignment="1" applyProtection="1">
      <alignment horizontal="center" vertical="center" wrapText="1"/>
    </xf>
    <xf numFmtId="0" fontId="10" fillId="2" borderId="21" xfId="0" applyFont="1" applyFill="1" applyBorder="1" applyAlignment="1" applyProtection="1">
      <alignment horizontal="center" vertical="center" wrapText="1"/>
    </xf>
    <xf numFmtId="0" fontId="10" fillId="2" borderId="0" xfId="0" applyFont="1" applyFill="1" applyBorder="1" applyAlignment="1" applyProtection="1">
      <alignment horizontal="center" vertical="center" wrapText="1"/>
    </xf>
    <xf numFmtId="0" fontId="10" fillId="2" borderId="20" xfId="0" applyFont="1" applyFill="1" applyBorder="1" applyAlignment="1" applyProtection="1">
      <alignment horizontal="center" vertical="center" wrapText="1"/>
    </xf>
    <xf numFmtId="0" fontId="10" fillId="2" borderId="10" xfId="0" applyFont="1" applyFill="1" applyBorder="1" applyAlignment="1" applyProtection="1">
      <alignment horizontal="center" vertical="center" wrapText="1"/>
    </xf>
    <xf numFmtId="0" fontId="10" fillId="2" borderId="89" xfId="0" applyFont="1" applyFill="1" applyBorder="1" applyAlignment="1" applyProtection="1">
      <alignment horizontal="center" vertical="center" shrinkToFit="1"/>
    </xf>
    <xf numFmtId="0" fontId="10" fillId="2" borderId="18" xfId="0" applyFont="1" applyFill="1" applyBorder="1" applyAlignment="1" applyProtection="1">
      <alignment horizontal="center" vertical="center"/>
    </xf>
    <xf numFmtId="0" fontId="10" fillId="2" borderId="100" xfId="0" applyFont="1" applyFill="1" applyBorder="1" applyAlignment="1" applyProtection="1">
      <alignment horizontal="left" vertical="center"/>
    </xf>
    <xf numFmtId="0" fontId="10" fillId="2" borderId="17" xfId="0" applyFont="1" applyFill="1" applyBorder="1" applyAlignment="1" applyProtection="1">
      <alignment horizontal="center" vertical="center"/>
    </xf>
    <xf numFmtId="0" fontId="40" fillId="2" borderId="4" xfId="0" applyFont="1" applyFill="1" applyBorder="1" applyAlignment="1" applyProtection="1">
      <alignment horizontal="center" vertical="center" wrapText="1"/>
    </xf>
    <xf numFmtId="0" fontId="40" fillId="2" borderId="4" xfId="0" applyFont="1" applyFill="1" applyBorder="1" applyAlignment="1" applyProtection="1">
      <alignment horizontal="center" vertical="center"/>
    </xf>
    <xf numFmtId="0" fontId="40" fillId="2" borderId="17" xfId="0" applyFont="1" applyFill="1" applyBorder="1" applyAlignment="1" applyProtection="1">
      <alignment horizontal="center" vertical="center"/>
    </xf>
    <xf numFmtId="0" fontId="10" fillId="2" borderId="18" xfId="0" applyFont="1" applyFill="1" applyBorder="1" applyAlignment="1" applyProtection="1">
      <alignment horizontal="left" vertical="center"/>
    </xf>
    <xf numFmtId="0" fontId="10" fillId="2" borderId="14" xfId="0" applyFont="1" applyFill="1" applyBorder="1" applyAlignment="1" applyProtection="1">
      <alignment horizontal="left" vertical="center"/>
    </xf>
    <xf numFmtId="0" fontId="10" fillId="2" borderId="105" xfId="0" applyFont="1" applyFill="1" applyBorder="1" applyAlignment="1" applyProtection="1">
      <alignment horizontal="center" vertical="center"/>
    </xf>
    <xf numFmtId="0" fontId="10" fillId="6" borderId="85" xfId="0" applyFont="1" applyFill="1" applyBorder="1" applyAlignment="1" applyProtection="1">
      <alignment horizontal="center" vertical="center"/>
      <protection locked="0"/>
    </xf>
    <xf numFmtId="0" fontId="10" fillId="6" borderId="86" xfId="0" applyFont="1" applyFill="1" applyBorder="1" applyAlignment="1" applyProtection="1">
      <alignment horizontal="center" vertical="center"/>
      <protection locked="0"/>
    </xf>
    <xf numFmtId="0" fontId="10" fillId="6" borderId="87" xfId="0" applyFont="1" applyFill="1" applyBorder="1" applyAlignment="1" applyProtection="1">
      <alignment horizontal="center" vertical="center"/>
      <protection locked="0"/>
    </xf>
    <xf numFmtId="0" fontId="10" fillId="6" borderId="88" xfId="0" applyFont="1" applyFill="1" applyBorder="1" applyAlignment="1" applyProtection="1">
      <alignment horizontal="center" vertical="center"/>
      <protection locked="0"/>
    </xf>
    <xf numFmtId="0" fontId="10" fillId="6" borderId="89" xfId="0" applyFont="1" applyFill="1" applyBorder="1" applyAlignment="1" applyProtection="1">
      <alignment horizontal="center" vertical="center"/>
      <protection locked="0"/>
    </xf>
    <xf numFmtId="0" fontId="10" fillId="6" borderId="90" xfId="0" applyFont="1" applyFill="1" applyBorder="1" applyAlignment="1" applyProtection="1">
      <alignment horizontal="center" vertical="center"/>
      <protection locked="0"/>
    </xf>
    <xf numFmtId="0" fontId="10" fillId="2" borderId="8" xfId="0" applyFont="1" applyFill="1" applyBorder="1" applyAlignment="1" applyProtection="1">
      <alignment horizontal="left" vertical="center" wrapText="1"/>
    </xf>
    <xf numFmtId="0" fontId="10" fillId="2" borderId="36" xfId="0" applyFont="1" applyFill="1" applyBorder="1" applyAlignment="1" applyProtection="1">
      <alignment horizontal="center" vertical="center"/>
    </xf>
    <xf numFmtId="0" fontId="10" fillId="2" borderId="86" xfId="0" applyFont="1" applyFill="1" applyBorder="1" applyAlignment="1" applyProtection="1">
      <alignment horizontal="left" vertical="center" wrapText="1"/>
    </xf>
    <xf numFmtId="0" fontId="10" fillId="2" borderId="87" xfId="0" applyFont="1" applyFill="1" applyBorder="1" applyAlignment="1" applyProtection="1">
      <alignment horizontal="left" vertical="center" wrapText="1"/>
    </xf>
    <xf numFmtId="0" fontId="10" fillId="6" borderId="89" xfId="0" applyFont="1" applyFill="1" applyBorder="1" applyAlignment="1" applyProtection="1">
      <alignment horizontal="center" vertical="center" shrinkToFit="1"/>
      <protection locked="0"/>
    </xf>
    <xf numFmtId="0" fontId="10" fillId="2" borderId="18" xfId="0" applyFont="1" applyFill="1" applyBorder="1" applyAlignment="1" applyProtection="1">
      <alignment horizontal="left" vertical="center" wrapText="1"/>
    </xf>
    <xf numFmtId="0" fontId="10" fillId="2" borderId="14" xfId="0" applyFont="1" applyFill="1" applyBorder="1" applyAlignment="1" applyProtection="1">
      <alignment horizontal="left" vertical="center" wrapText="1"/>
    </xf>
    <xf numFmtId="0" fontId="10" fillId="2" borderId="117" xfId="0" applyFont="1" applyFill="1" applyBorder="1" applyAlignment="1" applyProtection="1">
      <alignment horizontal="left" vertical="center"/>
    </xf>
    <xf numFmtId="0" fontId="10" fillId="2" borderId="118" xfId="0" applyFont="1" applyFill="1" applyBorder="1" applyAlignment="1" applyProtection="1">
      <alignment horizontal="left" vertical="center"/>
    </xf>
    <xf numFmtId="0" fontId="10" fillId="2" borderId="119" xfId="0" applyFont="1" applyFill="1" applyBorder="1" applyAlignment="1" applyProtection="1">
      <alignment horizontal="left" vertical="center"/>
    </xf>
    <xf numFmtId="0" fontId="10" fillId="2" borderId="117" xfId="0" applyFont="1" applyFill="1" applyBorder="1" applyAlignment="1" applyProtection="1">
      <alignment horizontal="center" vertical="center"/>
    </xf>
    <xf numFmtId="0" fontId="10" fillId="2" borderId="118" xfId="0" applyFont="1" applyFill="1" applyBorder="1" applyAlignment="1" applyProtection="1">
      <alignment horizontal="center" vertical="center"/>
    </xf>
    <xf numFmtId="0" fontId="10" fillId="2" borderId="119" xfId="0" applyFont="1" applyFill="1" applyBorder="1" applyAlignment="1" applyProtection="1">
      <alignment horizontal="center" vertical="center"/>
    </xf>
    <xf numFmtId="0" fontId="14" fillId="2" borderId="40" xfId="0" applyFont="1" applyFill="1" applyBorder="1" applyAlignment="1" applyProtection="1">
      <alignment horizontal="center" vertical="center"/>
    </xf>
    <xf numFmtId="0" fontId="14" fillId="2" borderId="41" xfId="0" applyFont="1" applyFill="1" applyBorder="1" applyAlignment="1" applyProtection="1">
      <alignment horizontal="center" vertical="center"/>
    </xf>
    <xf numFmtId="0" fontId="14" fillId="2" borderId="42" xfId="0" applyFont="1" applyFill="1" applyBorder="1" applyAlignment="1" applyProtection="1">
      <alignment horizontal="center" vertical="center"/>
    </xf>
    <xf numFmtId="0" fontId="10" fillId="2" borderId="32" xfId="0" applyFont="1" applyFill="1" applyBorder="1" applyAlignment="1" applyProtection="1">
      <alignment horizontal="left" vertical="center" wrapText="1"/>
    </xf>
    <xf numFmtId="0" fontId="10" fillId="2" borderId="85" xfId="0" applyFont="1" applyFill="1" applyBorder="1" applyAlignment="1" applyProtection="1">
      <alignment horizontal="center" vertical="center" wrapText="1"/>
    </xf>
    <xf numFmtId="0" fontId="10" fillId="2" borderId="86" xfId="0" applyFont="1" applyFill="1" applyBorder="1" applyAlignment="1" applyProtection="1">
      <alignment horizontal="center" vertical="center" wrapText="1"/>
    </xf>
    <xf numFmtId="0" fontId="10" fillId="2" borderId="103" xfId="0" applyFont="1" applyFill="1" applyBorder="1" applyAlignment="1" applyProtection="1">
      <alignment horizontal="left" vertical="center" wrapText="1"/>
    </xf>
    <xf numFmtId="0" fontId="10" fillId="2" borderId="105" xfId="0" applyFont="1" applyFill="1" applyBorder="1" applyAlignment="1" applyProtection="1">
      <alignment horizontal="left" vertical="center" wrapText="1"/>
    </xf>
    <xf numFmtId="0" fontId="10" fillId="2" borderId="88" xfId="0" applyFont="1" applyFill="1" applyBorder="1" applyAlignment="1" applyProtection="1">
      <alignment horizontal="center" vertical="center" wrapText="1"/>
    </xf>
    <xf numFmtId="0" fontId="10" fillId="2" borderId="89" xfId="0" applyFont="1" applyFill="1" applyBorder="1" applyAlignment="1" applyProtection="1">
      <alignment horizontal="center" vertical="center" wrapText="1"/>
    </xf>
    <xf numFmtId="0" fontId="10" fillId="2" borderId="89" xfId="0" applyFont="1" applyFill="1" applyBorder="1" applyAlignment="1" applyProtection="1">
      <alignment horizontal="left" vertical="center" wrapText="1"/>
    </xf>
    <xf numFmtId="0" fontId="10" fillId="2" borderId="90" xfId="0" applyFont="1" applyFill="1" applyBorder="1" applyAlignment="1" applyProtection="1">
      <alignment horizontal="left" vertical="center" wrapText="1"/>
    </xf>
    <xf numFmtId="0" fontId="10" fillId="6" borderId="17" xfId="0" applyFont="1" applyFill="1" applyBorder="1" applyAlignment="1" applyProtection="1">
      <alignment horizontal="center" vertical="center"/>
      <protection locked="0"/>
    </xf>
    <xf numFmtId="0" fontId="10" fillId="6" borderId="18" xfId="0" applyFont="1" applyFill="1" applyBorder="1" applyAlignment="1" applyProtection="1">
      <alignment horizontal="center" vertical="center"/>
      <protection locked="0"/>
    </xf>
    <xf numFmtId="0" fontId="10" fillId="6" borderId="14" xfId="0" applyFont="1" applyFill="1" applyBorder="1" applyAlignment="1" applyProtection="1">
      <alignment horizontal="center" vertical="center"/>
      <protection locked="0"/>
    </xf>
    <xf numFmtId="0" fontId="10" fillId="2" borderId="104" xfId="0" applyFont="1" applyFill="1" applyBorder="1" applyAlignment="1" applyProtection="1">
      <alignment horizontal="center" vertical="center" wrapText="1"/>
    </xf>
    <xf numFmtId="0" fontId="10" fillId="2" borderId="103" xfId="0" applyFont="1" applyFill="1" applyBorder="1" applyAlignment="1" applyProtection="1">
      <alignment horizontal="center" vertical="center" wrapText="1"/>
    </xf>
    <xf numFmtId="0" fontId="28" fillId="2" borderId="19" xfId="0" applyFont="1" applyFill="1" applyBorder="1" applyAlignment="1" applyProtection="1">
      <alignment horizontal="center" vertical="center"/>
    </xf>
    <xf numFmtId="0" fontId="28" fillId="2" borderId="32" xfId="0" applyFont="1" applyFill="1" applyBorder="1" applyAlignment="1" applyProtection="1">
      <alignment horizontal="center" vertical="center"/>
    </xf>
    <xf numFmtId="0" fontId="28" fillId="2" borderId="16" xfId="0" applyFont="1" applyFill="1" applyBorder="1" applyAlignment="1" applyProtection="1">
      <alignment horizontal="center" vertical="center"/>
    </xf>
    <xf numFmtId="0" fontId="10" fillId="6" borderId="104" xfId="0" applyFont="1" applyFill="1" applyBorder="1" applyAlignment="1" applyProtection="1">
      <alignment horizontal="center" vertical="center"/>
      <protection locked="0"/>
    </xf>
    <xf numFmtId="0" fontId="10" fillId="6" borderId="103" xfId="0" applyFont="1" applyFill="1" applyBorder="1" applyAlignment="1" applyProtection="1">
      <alignment horizontal="center" vertical="center"/>
      <protection locked="0"/>
    </xf>
    <xf numFmtId="0" fontId="10" fillId="6" borderId="105" xfId="0" applyFont="1" applyFill="1" applyBorder="1" applyAlignment="1" applyProtection="1">
      <alignment horizontal="center" vertical="center"/>
      <protection locked="0"/>
    </xf>
    <xf numFmtId="0" fontId="10" fillId="6" borderId="20" xfId="0" applyFont="1" applyFill="1" applyBorder="1" applyAlignment="1" applyProtection="1">
      <alignment horizontal="center" vertical="center"/>
      <protection locked="0"/>
    </xf>
    <xf numFmtId="0" fontId="10" fillId="6" borderId="10" xfId="0" applyFont="1" applyFill="1" applyBorder="1" applyAlignment="1" applyProtection="1">
      <alignment horizontal="center" vertical="center"/>
      <protection locked="0"/>
    </xf>
    <xf numFmtId="0" fontId="10" fillId="6" borderId="13" xfId="0" applyFont="1" applyFill="1" applyBorder="1" applyAlignment="1" applyProtection="1">
      <alignment horizontal="center" vertical="center"/>
      <protection locked="0"/>
    </xf>
    <xf numFmtId="0" fontId="10" fillId="2" borderId="102" xfId="0" applyFont="1" applyFill="1" applyBorder="1" applyAlignment="1" applyProtection="1">
      <alignment horizontal="center" vertical="center"/>
    </xf>
    <xf numFmtId="0" fontId="10" fillId="2" borderId="130" xfId="0" applyFont="1" applyFill="1" applyBorder="1" applyAlignment="1" applyProtection="1">
      <alignment horizontal="center" vertical="center"/>
    </xf>
    <xf numFmtId="0" fontId="10" fillId="2" borderId="131" xfId="0" applyFont="1" applyFill="1" applyBorder="1" applyAlignment="1" applyProtection="1">
      <alignment horizontal="center" vertical="center"/>
    </xf>
    <xf numFmtId="0" fontId="10" fillId="2" borderId="102" xfId="0" applyFont="1" applyFill="1" applyBorder="1" applyAlignment="1" applyProtection="1">
      <alignment horizontal="left" vertical="center"/>
    </xf>
    <xf numFmtId="0" fontId="10" fillId="2" borderId="130" xfId="0" applyFont="1" applyFill="1" applyBorder="1" applyAlignment="1" applyProtection="1">
      <alignment horizontal="left" vertical="center"/>
    </xf>
    <xf numFmtId="0" fontId="10" fillId="2" borderId="131" xfId="0" applyFont="1" applyFill="1" applyBorder="1" applyAlignment="1" applyProtection="1">
      <alignment horizontal="left" vertical="center"/>
    </xf>
    <xf numFmtId="0" fontId="10" fillId="2" borderId="6" xfId="0" applyFont="1" applyFill="1" applyBorder="1" applyAlignment="1" applyProtection="1">
      <alignment horizontal="left" vertical="center" wrapText="1"/>
    </xf>
    <xf numFmtId="0" fontId="10" fillId="2" borderId="10" xfId="0" applyFont="1" applyFill="1" applyBorder="1" applyAlignment="1" applyProtection="1">
      <alignment horizontal="left" vertical="center" wrapText="1"/>
    </xf>
    <xf numFmtId="0" fontId="35" fillId="2" borderId="34" xfId="0" applyFont="1" applyFill="1" applyBorder="1" applyAlignment="1" applyProtection="1">
      <alignment horizontal="left" vertical="center" shrinkToFit="1"/>
    </xf>
    <xf numFmtId="0" fontId="10" fillId="2" borderId="15" xfId="0" applyFont="1" applyFill="1" applyBorder="1" applyAlignment="1" applyProtection="1">
      <alignment horizontal="center" vertical="center" wrapText="1"/>
    </xf>
    <xf numFmtId="0" fontId="10" fillId="2" borderId="16" xfId="0" applyFont="1" applyFill="1" applyBorder="1" applyAlignment="1" applyProtection="1">
      <alignment horizontal="left" vertical="center" wrapText="1"/>
    </xf>
    <xf numFmtId="0" fontId="10" fillId="2" borderId="112" xfId="0" applyFont="1" applyFill="1" applyBorder="1" applyAlignment="1" applyProtection="1">
      <alignment horizontal="left" vertical="center" wrapText="1"/>
    </xf>
    <xf numFmtId="0" fontId="28" fillId="2" borderId="20" xfId="0" applyFont="1" applyFill="1" applyBorder="1" applyAlignment="1" applyProtection="1">
      <alignment horizontal="left" vertical="center"/>
    </xf>
    <xf numFmtId="0" fontId="28" fillId="2" borderId="10" xfId="0" applyFont="1" applyFill="1" applyBorder="1" applyAlignment="1" applyProtection="1">
      <alignment horizontal="left" vertical="center"/>
    </xf>
    <xf numFmtId="0" fontId="28" fillId="2" borderId="13" xfId="0" applyFont="1" applyFill="1" applyBorder="1" applyAlignment="1" applyProtection="1">
      <alignment horizontal="left" vertical="center"/>
    </xf>
    <xf numFmtId="0" fontId="10" fillId="2" borderId="136" xfId="0" applyFont="1" applyFill="1" applyBorder="1" applyAlignment="1" applyProtection="1">
      <alignment horizontal="center" vertical="center" shrinkToFit="1"/>
    </xf>
    <xf numFmtId="176" fontId="10" fillId="2" borderId="136" xfId="0" applyNumberFormat="1" applyFont="1" applyFill="1" applyBorder="1" applyAlignment="1" applyProtection="1">
      <alignment horizontal="center" vertical="center" shrinkToFit="1"/>
    </xf>
    <xf numFmtId="176" fontId="10" fillId="2" borderId="137" xfId="0" applyNumberFormat="1" applyFont="1" applyFill="1" applyBorder="1" applyAlignment="1" applyProtection="1">
      <alignment horizontal="center" vertical="center" shrinkToFit="1"/>
    </xf>
    <xf numFmtId="0" fontId="10" fillId="6" borderId="17" xfId="0" applyFont="1" applyFill="1" applyBorder="1" applyAlignment="1" applyProtection="1">
      <alignment horizontal="center" vertical="center" shrinkToFit="1"/>
      <protection locked="0"/>
    </xf>
    <xf numFmtId="0" fontId="10" fillId="6" borderId="18" xfId="0" applyFont="1" applyFill="1" applyBorder="1" applyAlignment="1" applyProtection="1">
      <alignment horizontal="center" vertical="center" shrinkToFit="1"/>
      <protection locked="0"/>
    </xf>
    <xf numFmtId="0" fontId="13" fillId="2" borderId="18" xfId="0" applyFont="1" applyFill="1" applyBorder="1" applyAlignment="1">
      <alignment horizontal="left" vertical="center" wrapText="1" shrinkToFit="1"/>
    </xf>
    <xf numFmtId="0" fontId="13" fillId="2" borderId="14" xfId="0" applyFont="1" applyFill="1" applyBorder="1" applyAlignment="1">
      <alignment horizontal="left" vertical="center" wrapText="1" shrinkToFit="1"/>
    </xf>
    <xf numFmtId="0" fontId="28" fillId="2" borderId="17" xfId="0" applyFont="1" applyFill="1" applyBorder="1" applyAlignment="1">
      <alignment horizontal="center" vertical="center"/>
    </xf>
    <xf numFmtId="0" fontId="28" fillId="2" borderId="18" xfId="0" applyFont="1" applyFill="1" applyBorder="1" applyAlignment="1">
      <alignment horizontal="center" vertical="center"/>
    </xf>
    <xf numFmtId="0" fontId="28" fillId="2" borderId="14" xfId="0" applyFont="1" applyFill="1" applyBorder="1" applyAlignment="1">
      <alignment horizontal="center" vertical="center"/>
    </xf>
    <xf numFmtId="0" fontId="35" fillId="2" borderId="0" xfId="0" applyFont="1" applyFill="1" applyAlignment="1" applyProtection="1">
      <alignment horizontal="left" vertical="center"/>
    </xf>
    <xf numFmtId="38" fontId="10" fillId="2" borderId="0" xfId="4" applyFont="1" applyFill="1" applyBorder="1" applyAlignment="1" applyProtection="1">
      <alignment horizontal="center" vertical="center" wrapText="1"/>
    </xf>
    <xf numFmtId="0" fontId="10" fillId="2" borderId="63" xfId="0" applyFont="1" applyFill="1" applyBorder="1" applyAlignment="1" applyProtection="1">
      <alignment horizontal="left" vertical="center" wrapText="1" shrinkToFit="1"/>
    </xf>
    <xf numFmtId="0" fontId="10" fillId="2" borderId="64" xfId="0" applyFont="1" applyFill="1" applyBorder="1" applyAlignment="1" applyProtection="1">
      <alignment horizontal="left" vertical="center" wrapText="1" shrinkToFit="1"/>
    </xf>
    <xf numFmtId="2" fontId="10" fillId="2" borderId="136" xfId="0" applyNumberFormat="1" applyFont="1" applyFill="1" applyBorder="1" applyAlignment="1" applyProtection="1">
      <alignment horizontal="center" vertical="center" shrinkToFit="1"/>
    </xf>
    <xf numFmtId="0" fontId="10" fillId="2" borderId="137" xfId="0" applyFont="1" applyFill="1" applyBorder="1" applyAlignment="1" applyProtection="1">
      <alignment horizontal="center" vertical="center" shrinkToFit="1"/>
    </xf>
    <xf numFmtId="0" fontId="10" fillId="2" borderId="66" xfId="0" applyFont="1" applyFill="1" applyBorder="1" applyAlignment="1" applyProtection="1">
      <alignment horizontal="center" vertical="center"/>
    </xf>
    <xf numFmtId="0" fontId="10" fillId="2" borderId="67" xfId="0" applyFont="1" applyFill="1" applyBorder="1" applyAlignment="1" applyProtection="1">
      <alignment horizontal="center" vertical="center"/>
    </xf>
    <xf numFmtId="0" fontId="10" fillId="6" borderId="6"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0" fillId="6" borderId="21" xfId="0" applyFont="1" applyFill="1" applyBorder="1" applyAlignment="1" applyProtection="1">
      <alignment horizontal="center" vertical="center"/>
      <protection locked="0"/>
    </xf>
    <xf numFmtId="0" fontId="10" fillId="6" borderId="0" xfId="0" applyFont="1" applyFill="1" applyBorder="1" applyAlignment="1" applyProtection="1">
      <alignment horizontal="center" vertical="center"/>
      <protection locked="0"/>
    </xf>
    <xf numFmtId="0" fontId="10" fillId="6" borderId="15" xfId="0" applyFont="1" applyFill="1" applyBorder="1" applyAlignment="1" applyProtection="1">
      <alignment horizontal="center" vertical="center"/>
      <protection locked="0"/>
    </xf>
    <xf numFmtId="0" fontId="10" fillId="2" borderId="496" xfId="0" applyFont="1" applyFill="1" applyBorder="1" applyAlignment="1" applyProtection="1">
      <alignment horizontal="center" vertical="center" shrinkToFit="1"/>
    </xf>
    <xf numFmtId="0" fontId="10" fillId="2" borderId="20" xfId="0" applyFont="1" applyFill="1" applyBorder="1" applyAlignment="1" applyProtection="1">
      <alignment horizontal="left" vertical="center" wrapText="1"/>
    </xf>
    <xf numFmtId="0" fontId="10" fillId="2" borderId="13" xfId="0" applyFont="1" applyFill="1" applyBorder="1" applyAlignment="1" applyProtection="1">
      <alignment horizontal="left" vertical="center" wrapText="1"/>
    </xf>
    <xf numFmtId="0" fontId="28" fillId="2" borderId="4" xfId="0" applyFont="1" applyFill="1" applyBorder="1" applyAlignment="1" applyProtection="1">
      <alignment horizontal="left" vertical="center"/>
    </xf>
    <xf numFmtId="0" fontId="40" fillId="2" borderId="144" xfId="0" applyFont="1" applyFill="1" applyBorder="1" applyAlignment="1" applyProtection="1">
      <alignment horizontal="center" vertical="center" wrapText="1" shrinkToFit="1"/>
    </xf>
    <xf numFmtId="0" fontId="10" fillId="2" borderId="0" xfId="0" applyFont="1" applyFill="1" applyBorder="1" applyAlignment="1" applyProtection="1">
      <alignment horizontal="left" vertical="center"/>
    </xf>
    <xf numFmtId="38" fontId="10" fillId="2" borderId="124" xfId="4" applyFont="1" applyFill="1" applyBorder="1" applyAlignment="1" applyProtection="1">
      <alignment horizontal="center" vertical="center" shrinkToFit="1"/>
    </xf>
    <xf numFmtId="214" fontId="10" fillId="2" borderId="116" xfId="0" applyNumberFormat="1" applyFont="1" applyFill="1" applyBorder="1" applyAlignment="1" applyProtection="1">
      <alignment horizontal="center" vertical="center"/>
    </xf>
    <xf numFmtId="214" fontId="10" fillId="2" borderId="311" xfId="0" applyNumberFormat="1" applyFont="1" applyFill="1" applyBorder="1" applyAlignment="1" applyProtection="1">
      <alignment horizontal="center" vertical="center"/>
    </xf>
    <xf numFmtId="0" fontId="40" fillId="2" borderId="123" xfId="0" applyFont="1" applyFill="1" applyBorder="1" applyAlignment="1" applyProtection="1">
      <alignment horizontal="center" vertical="center" wrapText="1" shrinkToFit="1"/>
    </xf>
    <xf numFmtId="0" fontId="10" fillId="2" borderId="118" xfId="0" applyFont="1" applyFill="1" applyBorder="1" applyAlignment="1" applyProtection="1">
      <alignment horizontal="left" vertical="center" wrapText="1"/>
    </xf>
    <xf numFmtId="0" fontId="10" fillId="2" borderId="119" xfId="0" applyFont="1" applyFill="1" applyBorder="1" applyAlignment="1" applyProtection="1">
      <alignment horizontal="left" vertical="center" wrapText="1"/>
    </xf>
    <xf numFmtId="0" fontId="10" fillId="2" borderId="104" xfId="0" applyFont="1" applyFill="1" applyBorder="1" applyAlignment="1" applyProtection="1">
      <alignment horizontal="left" vertical="center" wrapText="1"/>
    </xf>
    <xf numFmtId="0" fontId="10" fillId="2" borderId="6" xfId="0" applyFont="1" applyFill="1" applyBorder="1" applyAlignment="1" applyProtection="1">
      <alignment horizontal="left" vertical="center"/>
    </xf>
    <xf numFmtId="0" fontId="10" fillId="4" borderId="123" xfId="0" applyFont="1" applyFill="1" applyBorder="1" applyAlignment="1" applyProtection="1">
      <alignment horizontal="left" vertical="center" wrapText="1"/>
      <protection locked="0"/>
    </xf>
    <xf numFmtId="0" fontId="35" fillId="2" borderId="10" xfId="0" applyFont="1" applyFill="1" applyBorder="1" applyAlignment="1" applyProtection="1">
      <alignment horizontal="left" vertical="center"/>
    </xf>
    <xf numFmtId="0" fontId="10" fillId="2" borderId="147" xfId="0" applyFont="1" applyFill="1" applyBorder="1" applyAlignment="1" applyProtection="1">
      <alignment horizontal="center" vertical="center"/>
    </xf>
    <xf numFmtId="0" fontId="10" fillId="2" borderId="155" xfId="0" applyFont="1" applyFill="1" applyBorder="1" applyAlignment="1" applyProtection="1">
      <alignment horizontal="center" vertical="center"/>
    </xf>
    <xf numFmtId="0" fontId="10" fillId="2" borderId="204" xfId="0" applyFont="1" applyFill="1" applyBorder="1" applyAlignment="1" applyProtection="1">
      <alignment horizontal="center" vertical="center"/>
    </xf>
    <xf numFmtId="0" fontId="10" fillId="2" borderId="205" xfId="0" applyFont="1" applyFill="1" applyBorder="1" applyAlignment="1" applyProtection="1">
      <alignment horizontal="center" vertical="center"/>
    </xf>
    <xf numFmtId="0" fontId="10" fillId="2" borderId="149" xfId="0" applyFont="1" applyFill="1" applyBorder="1" applyAlignment="1" applyProtection="1">
      <alignment horizontal="center" vertical="center"/>
    </xf>
    <xf numFmtId="0" fontId="10" fillId="2" borderId="156" xfId="0" applyFont="1" applyFill="1" applyBorder="1" applyAlignment="1" applyProtection="1">
      <alignment horizontal="center" vertical="center"/>
    </xf>
    <xf numFmtId="0" fontId="10" fillId="2" borderId="152" xfId="0" applyFont="1" applyFill="1" applyBorder="1" applyAlignment="1" applyProtection="1">
      <alignment horizontal="center" vertical="center"/>
    </xf>
    <xf numFmtId="0" fontId="10" fillId="2" borderId="157" xfId="0" applyFont="1" applyFill="1" applyBorder="1" applyAlignment="1" applyProtection="1">
      <alignment horizontal="center" vertical="center"/>
    </xf>
    <xf numFmtId="0" fontId="10" fillId="2" borderId="150" xfId="0" applyFont="1" applyFill="1" applyBorder="1" applyAlignment="1" applyProtection="1">
      <alignment horizontal="right" vertical="center" shrinkToFit="1"/>
    </xf>
    <xf numFmtId="0" fontId="10" fillId="2" borderId="156" xfId="0" applyFont="1" applyFill="1" applyBorder="1" applyAlignment="1" applyProtection="1">
      <alignment horizontal="right" vertical="center" shrinkToFit="1"/>
    </xf>
    <xf numFmtId="0" fontId="10" fillId="2" borderId="138" xfId="0" applyFont="1" applyFill="1" applyBorder="1" applyAlignment="1" applyProtection="1">
      <alignment horizontal="center" vertical="center"/>
    </xf>
    <xf numFmtId="0" fontId="10" fillId="5" borderId="101" xfId="0" applyFont="1" applyFill="1" applyBorder="1" applyAlignment="1" applyProtection="1">
      <alignment horizontal="center" vertical="center"/>
    </xf>
    <xf numFmtId="0" fontId="14" fillId="2" borderId="10" xfId="0" applyFont="1" applyFill="1" applyBorder="1" applyAlignment="1" applyProtection="1">
      <alignment horizontal="left" vertical="center"/>
    </xf>
    <xf numFmtId="0" fontId="10" fillId="2" borderId="21" xfId="0" applyFont="1" applyFill="1" applyBorder="1" applyAlignment="1" applyProtection="1">
      <alignment horizontal="center" vertical="center" shrinkToFit="1"/>
    </xf>
    <xf numFmtId="0" fontId="10" fillId="2" borderId="0" xfId="0" applyFont="1" applyFill="1" applyBorder="1" applyAlignment="1" applyProtection="1">
      <alignment horizontal="center" vertical="center" shrinkToFit="1"/>
    </xf>
    <xf numFmtId="0" fontId="10" fillId="2" borderId="20" xfId="0" applyFont="1" applyFill="1" applyBorder="1" applyAlignment="1" applyProtection="1">
      <alignment horizontal="center" vertical="center" shrinkToFit="1"/>
    </xf>
    <xf numFmtId="0" fontId="10" fillId="2" borderId="10" xfId="0" applyFont="1" applyFill="1" applyBorder="1" applyAlignment="1" applyProtection="1">
      <alignment horizontal="center" vertical="center" shrinkToFit="1"/>
    </xf>
    <xf numFmtId="0" fontId="10" fillId="2" borderId="17" xfId="0" applyFont="1" applyFill="1" applyBorder="1" applyAlignment="1" applyProtection="1">
      <alignment horizontal="left" vertical="center" wrapText="1"/>
    </xf>
    <xf numFmtId="0" fontId="29" fillId="2" borderId="0" xfId="0" applyFont="1" applyFill="1" applyBorder="1" applyAlignment="1" applyProtection="1">
      <alignment horizontal="left" vertical="center" wrapText="1"/>
    </xf>
    <xf numFmtId="0" fontId="35" fillId="2" borderId="95" xfId="0" applyFont="1" applyFill="1" applyBorder="1" applyAlignment="1" applyProtection="1">
      <alignment horizontal="left" vertical="center"/>
    </xf>
    <xf numFmtId="0" fontId="10" fillId="2" borderId="32" xfId="0" applyFont="1" applyFill="1" applyBorder="1" applyAlignment="1" applyProtection="1">
      <alignment horizontal="left" vertical="center" shrinkToFit="1"/>
    </xf>
    <xf numFmtId="0" fontId="10" fillId="2" borderId="16" xfId="0" applyFont="1" applyFill="1" applyBorder="1" applyAlignment="1" applyProtection="1">
      <alignment horizontal="center" vertical="center" wrapText="1"/>
    </xf>
    <xf numFmtId="0" fontId="10" fillId="4" borderId="477" xfId="0" applyFont="1" applyFill="1" applyBorder="1" applyAlignment="1" applyProtection="1">
      <alignment horizontal="center" vertical="center"/>
      <protection locked="0"/>
    </xf>
    <xf numFmtId="0" fontId="10" fillId="2" borderId="99" xfId="0" applyFont="1" applyFill="1" applyBorder="1" applyAlignment="1" applyProtection="1">
      <alignment horizontal="center" vertical="center"/>
    </xf>
    <xf numFmtId="0" fontId="10" fillId="2" borderId="100" xfId="0" applyFont="1" applyFill="1" applyBorder="1" applyAlignment="1" applyProtection="1">
      <alignment horizontal="center" vertical="center"/>
    </xf>
    <xf numFmtId="0" fontId="10" fillId="2" borderId="100" xfId="0" applyFont="1" applyFill="1" applyBorder="1" applyAlignment="1" applyProtection="1">
      <alignment horizontal="left" vertical="center" shrinkToFit="1"/>
    </xf>
    <xf numFmtId="0" fontId="10" fillId="2" borderId="104" xfId="0" applyFont="1" applyFill="1" applyBorder="1" applyAlignment="1" applyProtection="1">
      <alignment horizontal="center" vertical="center" shrinkToFit="1"/>
    </xf>
    <xf numFmtId="0" fontId="10" fillId="2" borderId="103" xfId="0" applyFont="1" applyFill="1" applyBorder="1" applyAlignment="1" applyProtection="1">
      <alignment horizontal="center" vertical="center" shrinkToFit="1"/>
    </xf>
    <xf numFmtId="0" fontId="10" fillId="2" borderId="103" xfId="0" applyFont="1" applyFill="1" applyBorder="1" applyAlignment="1" applyProtection="1">
      <alignment horizontal="left" vertical="center" shrinkToFit="1"/>
    </xf>
    <xf numFmtId="0" fontId="28" fillId="2" borderId="4" xfId="0" applyFont="1" applyFill="1" applyBorder="1" applyAlignment="1" applyProtection="1">
      <alignment horizontal="center" vertical="center"/>
    </xf>
    <xf numFmtId="0" fontId="10" fillId="2" borderId="88" xfId="0" applyFont="1" applyFill="1" applyBorder="1" applyAlignment="1" applyProtection="1">
      <alignment horizontal="center" vertical="center" shrinkToFit="1"/>
    </xf>
    <xf numFmtId="0" fontId="10" fillId="2" borderId="89" xfId="0" applyFont="1" applyFill="1" applyBorder="1" applyAlignment="1" applyProtection="1">
      <alignment horizontal="left" vertical="center" shrinkToFit="1"/>
    </xf>
    <xf numFmtId="0" fontId="10" fillId="2" borderId="90" xfId="0" applyFont="1" applyFill="1" applyBorder="1" applyAlignment="1" applyProtection="1">
      <alignment horizontal="left" vertical="center" shrinkToFit="1"/>
    </xf>
    <xf numFmtId="0" fontId="35" fillId="2" borderId="0" xfId="0" applyFont="1" applyFill="1" applyBorder="1" applyAlignment="1" applyProtection="1">
      <alignment horizontal="left" vertical="center"/>
    </xf>
    <xf numFmtId="0" fontId="10" fillId="2" borderId="101" xfId="0" applyFont="1" applyFill="1" applyBorder="1" applyAlignment="1" applyProtection="1">
      <alignment horizontal="center" vertical="center"/>
    </xf>
    <xf numFmtId="181" fontId="10" fillId="6" borderId="17" xfId="0" applyNumberFormat="1" applyFont="1" applyFill="1" applyBorder="1" applyAlignment="1" applyProtection="1">
      <alignment horizontal="center" vertical="center" shrinkToFit="1"/>
      <protection locked="0"/>
    </xf>
    <xf numFmtId="181" fontId="10" fillId="6" borderId="18" xfId="0" applyNumberFormat="1" applyFont="1" applyFill="1" applyBorder="1" applyAlignment="1" applyProtection="1">
      <alignment horizontal="center" vertical="center" shrinkToFit="1"/>
      <protection locked="0"/>
    </xf>
    <xf numFmtId="181" fontId="10" fillId="6" borderId="14" xfId="0" applyNumberFormat="1" applyFont="1" applyFill="1" applyBorder="1" applyAlignment="1" applyProtection="1">
      <alignment horizontal="center" vertical="center" shrinkToFit="1"/>
      <protection locked="0"/>
    </xf>
    <xf numFmtId="0" fontId="10" fillId="5" borderId="480" xfId="0" applyFont="1" applyFill="1" applyBorder="1" applyAlignment="1" applyProtection="1">
      <alignment horizontal="center" vertical="center"/>
    </xf>
    <xf numFmtId="0" fontId="10" fillId="5" borderId="481" xfId="0" applyFont="1" applyFill="1" applyBorder="1" applyAlignment="1" applyProtection="1">
      <alignment horizontal="center" vertical="center"/>
    </xf>
    <xf numFmtId="0" fontId="10" fillId="6" borderId="4" xfId="0" applyFont="1" applyFill="1" applyBorder="1" applyAlignment="1" applyProtection="1">
      <alignment horizontal="center" vertical="center"/>
      <protection locked="0"/>
    </xf>
    <xf numFmtId="0" fontId="10" fillId="6" borderId="8" xfId="0" applyFont="1" applyFill="1" applyBorder="1" applyAlignment="1" applyProtection="1">
      <alignment horizontal="center" vertical="center"/>
      <protection locked="0"/>
    </xf>
    <xf numFmtId="0" fontId="10" fillId="2" borderId="19" xfId="0" applyFont="1" applyFill="1" applyBorder="1" applyAlignment="1" applyProtection="1">
      <alignment horizontal="left" vertical="center" wrapText="1"/>
    </xf>
    <xf numFmtId="0" fontId="10" fillId="2" borderId="129" xfId="0" applyFont="1" applyFill="1" applyBorder="1" applyAlignment="1" applyProtection="1">
      <alignment horizontal="center" vertical="center" shrinkToFit="1"/>
    </xf>
    <xf numFmtId="0" fontId="10" fillId="2" borderId="121" xfId="0" applyFont="1" applyFill="1" applyBorder="1" applyAlignment="1" applyProtection="1">
      <alignment horizontal="center" vertical="center" shrinkToFit="1"/>
    </xf>
    <xf numFmtId="0" fontId="28" fillId="2" borderId="17" xfId="0" applyFont="1" applyFill="1" applyBorder="1" applyAlignment="1" applyProtection="1">
      <alignment horizontal="center" vertical="center"/>
    </xf>
    <xf numFmtId="0" fontId="14" fillId="2" borderId="0" xfId="0" applyFont="1" applyFill="1" applyAlignment="1" applyProtection="1">
      <alignment horizontal="left" vertical="center"/>
    </xf>
    <xf numFmtId="0" fontId="10" fillId="0" borderId="17" xfId="0" applyFont="1" applyBorder="1" applyAlignment="1" applyProtection="1">
      <alignment horizontal="center" vertical="center"/>
    </xf>
    <xf numFmtId="0" fontId="10" fillId="0" borderId="14" xfId="0" applyFont="1" applyBorder="1" applyAlignment="1" applyProtection="1">
      <alignment horizontal="center" vertical="center"/>
    </xf>
    <xf numFmtId="0" fontId="10" fillId="7" borderId="41" xfId="0" applyFont="1" applyFill="1" applyBorder="1" applyAlignment="1" applyProtection="1">
      <alignment horizontal="center" vertical="center" shrinkToFit="1"/>
    </xf>
    <xf numFmtId="0" fontId="10" fillId="7" borderId="42" xfId="0" applyFont="1" applyFill="1" applyBorder="1" applyAlignment="1" applyProtection="1">
      <alignment horizontal="center" vertical="center" shrinkToFit="1"/>
    </xf>
    <xf numFmtId="0" fontId="10" fillId="6" borderId="117" xfId="0" applyFont="1" applyFill="1" applyBorder="1" applyAlignment="1" applyProtection="1">
      <alignment horizontal="center" vertical="center" wrapText="1"/>
      <protection locked="0"/>
    </xf>
    <xf numFmtId="0" fontId="10" fillId="6" borderId="118" xfId="0" applyFont="1" applyFill="1" applyBorder="1" applyAlignment="1" applyProtection="1">
      <alignment horizontal="center" vertical="center" wrapText="1"/>
      <protection locked="0"/>
    </xf>
    <xf numFmtId="0" fontId="10" fillId="6" borderId="119" xfId="0" applyFont="1" applyFill="1" applyBorder="1" applyAlignment="1" applyProtection="1">
      <alignment horizontal="center" vertical="center" wrapText="1"/>
      <protection locked="0"/>
    </xf>
    <xf numFmtId="0" fontId="10" fillId="2" borderId="117" xfId="0" applyFont="1" applyFill="1" applyBorder="1" applyAlignment="1" applyProtection="1">
      <alignment horizontal="center" vertical="center" shrinkToFit="1"/>
    </xf>
    <xf numFmtId="0" fontId="10" fillId="2" borderId="118" xfId="0" applyFont="1" applyFill="1" applyBorder="1" applyAlignment="1" applyProtection="1">
      <alignment horizontal="center" vertical="center" shrinkToFit="1"/>
    </xf>
    <xf numFmtId="214" fontId="10" fillId="2" borderId="14" xfId="0" applyNumberFormat="1" applyFont="1" applyFill="1" applyBorder="1" applyAlignment="1" applyProtection="1">
      <alignment horizontal="center" vertical="center"/>
    </xf>
    <xf numFmtId="0" fontId="10" fillId="4" borderId="479" xfId="0" applyFont="1" applyFill="1" applyBorder="1" applyAlignment="1" applyProtection="1">
      <alignment horizontal="center" vertical="center"/>
      <protection locked="0"/>
    </xf>
    <xf numFmtId="38" fontId="10" fillId="2" borderId="144" xfId="4" applyFont="1" applyFill="1" applyBorder="1" applyAlignment="1" applyProtection="1">
      <alignment horizontal="center" vertical="center" shrinkToFit="1"/>
    </xf>
    <xf numFmtId="0" fontId="10" fillId="2" borderId="4" xfId="0" applyFont="1" applyFill="1" applyBorder="1" applyAlignment="1" applyProtection="1">
      <alignment horizontal="center" vertical="center" shrinkToFit="1"/>
    </xf>
    <xf numFmtId="181" fontId="10" fillId="4" borderId="4" xfId="0" applyNumberFormat="1" applyFont="1" applyFill="1" applyBorder="1" applyAlignment="1" applyProtection="1">
      <alignment horizontal="center" vertical="center" shrinkToFit="1"/>
      <protection locked="0"/>
    </xf>
    <xf numFmtId="0" fontId="10" fillId="2" borderId="17" xfId="0" applyFont="1" applyFill="1" applyBorder="1" applyAlignment="1" applyProtection="1">
      <alignment horizontal="center" vertical="center" shrinkToFit="1"/>
    </xf>
    <xf numFmtId="0" fontId="10" fillId="2" borderId="18" xfId="0" applyFont="1" applyFill="1" applyBorder="1" applyAlignment="1" applyProtection="1">
      <alignment horizontal="center" vertical="center" shrinkToFit="1"/>
    </xf>
    <xf numFmtId="0" fontId="10" fillId="2" borderId="14" xfId="0" applyFont="1" applyFill="1" applyBorder="1" applyAlignment="1" applyProtection="1">
      <alignment horizontal="center" vertical="center" shrinkToFit="1"/>
    </xf>
    <xf numFmtId="0" fontId="10" fillId="2" borderId="17" xfId="0" applyFont="1" applyFill="1" applyBorder="1" applyAlignment="1" applyProtection="1">
      <alignment horizontal="left" vertical="center" shrinkToFit="1"/>
    </xf>
    <xf numFmtId="0" fontId="10" fillId="2" borderId="18" xfId="0" applyFont="1" applyFill="1" applyBorder="1" applyAlignment="1" applyProtection="1">
      <alignment horizontal="left" vertical="center" shrinkToFit="1"/>
    </xf>
    <xf numFmtId="0" fontId="10" fillId="2" borderId="14" xfId="0" applyFont="1" applyFill="1" applyBorder="1" applyAlignment="1" applyProtection="1">
      <alignment horizontal="left" vertical="center" shrinkToFit="1"/>
    </xf>
    <xf numFmtId="181" fontId="10" fillId="2" borderId="17" xfId="0" applyNumberFormat="1" applyFont="1" applyFill="1" applyBorder="1" applyAlignment="1" applyProtection="1">
      <alignment horizontal="center" vertical="center" shrinkToFit="1"/>
    </xf>
    <xf numFmtId="181" fontId="10" fillId="2" borderId="18" xfId="0" applyNumberFormat="1" applyFont="1" applyFill="1" applyBorder="1" applyAlignment="1" applyProtection="1">
      <alignment horizontal="center" vertical="center" shrinkToFit="1"/>
    </xf>
    <xf numFmtId="181" fontId="10" fillId="2" borderId="14" xfId="0" applyNumberFormat="1" applyFont="1" applyFill="1" applyBorder="1" applyAlignment="1" applyProtection="1">
      <alignment horizontal="center" vertical="center" shrinkToFit="1"/>
    </xf>
    <xf numFmtId="181" fontId="10" fillId="2" borderId="4" xfId="0" applyNumberFormat="1" applyFont="1" applyFill="1" applyBorder="1" applyAlignment="1" applyProtection="1">
      <alignment horizontal="center" vertical="center" shrinkToFit="1"/>
    </xf>
    <xf numFmtId="181" fontId="10" fillId="2" borderId="19" xfId="0" applyNumberFormat="1" applyFont="1" applyFill="1" applyBorder="1" applyAlignment="1" applyProtection="1">
      <alignment horizontal="left" vertical="center" wrapText="1" shrinkToFit="1"/>
    </xf>
    <xf numFmtId="181" fontId="10" fillId="2" borderId="32" xfId="0" applyNumberFormat="1" applyFont="1" applyFill="1" applyBorder="1" applyAlignment="1" applyProtection="1">
      <alignment horizontal="left" vertical="center" wrapText="1" shrinkToFit="1"/>
    </xf>
    <xf numFmtId="181" fontId="10" fillId="2" borderId="16" xfId="0" applyNumberFormat="1" applyFont="1" applyFill="1" applyBorder="1" applyAlignment="1" applyProtection="1">
      <alignment horizontal="left" vertical="center" wrapText="1" shrinkToFit="1"/>
    </xf>
    <xf numFmtId="181" fontId="10" fillId="2" borderId="21" xfId="0" applyNumberFormat="1" applyFont="1" applyFill="1" applyBorder="1" applyAlignment="1" applyProtection="1">
      <alignment horizontal="left" vertical="center" wrapText="1" shrinkToFit="1"/>
    </xf>
    <xf numFmtId="181" fontId="10" fillId="2" borderId="0" xfId="0" applyNumberFormat="1" applyFont="1" applyFill="1" applyBorder="1" applyAlignment="1" applyProtection="1">
      <alignment horizontal="left" vertical="center" wrapText="1" shrinkToFit="1"/>
    </xf>
    <xf numFmtId="181" fontId="10" fillId="2" borderId="15" xfId="0" applyNumberFormat="1" applyFont="1" applyFill="1" applyBorder="1" applyAlignment="1" applyProtection="1">
      <alignment horizontal="left" vertical="center" wrapText="1" shrinkToFit="1"/>
    </xf>
    <xf numFmtId="181" fontId="10" fillId="2" borderId="20" xfId="0" applyNumberFormat="1" applyFont="1" applyFill="1" applyBorder="1" applyAlignment="1" applyProtection="1">
      <alignment horizontal="left" vertical="center" wrapText="1" shrinkToFit="1"/>
    </xf>
    <xf numFmtId="181" fontId="10" fillId="2" borderId="10" xfId="0" applyNumberFormat="1" applyFont="1" applyFill="1" applyBorder="1" applyAlignment="1" applyProtection="1">
      <alignment horizontal="left" vertical="center" wrapText="1" shrinkToFit="1"/>
    </xf>
    <xf numFmtId="181" fontId="10" fillId="2" borderId="13" xfId="0" applyNumberFormat="1" applyFont="1" applyFill="1" applyBorder="1" applyAlignment="1" applyProtection="1">
      <alignment horizontal="left" vertical="center" wrapText="1" shrinkToFit="1"/>
    </xf>
    <xf numFmtId="0" fontId="10" fillId="2" borderId="82" xfId="0" applyFont="1" applyFill="1" applyBorder="1" applyAlignment="1" applyProtection="1">
      <alignment horizontal="center" vertical="center" shrinkToFit="1"/>
    </xf>
    <xf numFmtId="0" fontId="10" fillId="2" borderId="83" xfId="0" applyFont="1" applyFill="1" applyBorder="1" applyAlignment="1" applyProtection="1">
      <alignment horizontal="center" vertical="center" shrinkToFit="1"/>
    </xf>
    <xf numFmtId="0" fontId="10" fillId="2" borderId="84" xfId="0" applyFont="1" applyFill="1" applyBorder="1" applyAlignment="1" applyProtection="1">
      <alignment horizontal="center" vertical="center" shrinkToFit="1"/>
    </xf>
    <xf numFmtId="0" fontId="10" fillId="6" borderId="88" xfId="0" applyFont="1" applyFill="1" applyBorder="1" applyAlignment="1" applyProtection="1">
      <alignment horizontal="center" vertical="center" wrapText="1"/>
      <protection locked="0"/>
    </xf>
    <xf numFmtId="0" fontId="10" fillId="6" borderId="89" xfId="0" applyFont="1" applyFill="1" applyBorder="1" applyAlignment="1" applyProtection="1">
      <alignment horizontal="center" vertical="center" wrapText="1"/>
      <protection locked="0"/>
    </xf>
    <xf numFmtId="0" fontId="10" fillId="6" borderId="90" xfId="0" applyFont="1" applyFill="1" applyBorder="1" applyAlignment="1" applyProtection="1">
      <alignment horizontal="center" vertical="center" wrapText="1"/>
      <protection locked="0"/>
    </xf>
    <xf numFmtId="0" fontId="10" fillId="2" borderId="36" xfId="0" applyFont="1" applyFill="1" applyBorder="1" applyAlignment="1" applyProtection="1">
      <alignment horizontal="left" vertical="center" wrapText="1"/>
    </xf>
    <xf numFmtId="0" fontId="10" fillId="2" borderId="37" xfId="0" applyFont="1" applyFill="1" applyBorder="1" applyAlignment="1" applyProtection="1">
      <alignment horizontal="left" vertical="center" wrapText="1"/>
    </xf>
    <xf numFmtId="0" fontId="10" fillId="2" borderId="38" xfId="0" applyFont="1" applyFill="1" applyBorder="1" applyAlignment="1" applyProtection="1">
      <alignment horizontal="left" vertical="center" wrapText="1"/>
    </xf>
    <xf numFmtId="0" fontId="10" fillId="6" borderId="99" xfId="0" applyFont="1" applyFill="1" applyBorder="1" applyAlignment="1" applyProtection="1">
      <alignment horizontal="center" vertical="center" wrapText="1"/>
      <protection locked="0"/>
    </xf>
    <xf numFmtId="0" fontId="10" fillId="6" borderId="100" xfId="0" applyFont="1" applyFill="1" applyBorder="1" applyAlignment="1" applyProtection="1">
      <alignment horizontal="center" vertical="center" wrapText="1"/>
      <protection locked="0"/>
    </xf>
    <xf numFmtId="0" fontId="10" fillId="6" borderId="101" xfId="0" applyFont="1" applyFill="1" applyBorder="1" applyAlignment="1" applyProtection="1">
      <alignment horizontal="center" vertical="center" wrapText="1"/>
      <protection locked="0"/>
    </xf>
    <xf numFmtId="0" fontId="10" fillId="2" borderId="100" xfId="0" applyFont="1" applyFill="1" applyBorder="1" applyAlignment="1" applyProtection="1">
      <alignment horizontal="left" vertical="center" wrapText="1" shrinkToFit="1"/>
    </xf>
    <xf numFmtId="0" fontId="10" fillId="2" borderId="8" xfId="0" applyFont="1" applyFill="1" applyBorder="1" applyAlignment="1" applyProtection="1">
      <alignment horizontal="center" vertical="center"/>
    </xf>
    <xf numFmtId="0" fontId="10" fillId="6" borderId="104" xfId="0" applyFont="1" applyFill="1" applyBorder="1" applyAlignment="1" applyProtection="1">
      <alignment horizontal="center" vertical="center" wrapText="1"/>
      <protection locked="0"/>
    </xf>
    <xf numFmtId="0" fontId="10" fillId="6" borderId="103" xfId="0" applyFont="1" applyFill="1" applyBorder="1" applyAlignment="1" applyProtection="1">
      <alignment horizontal="center" vertical="center" wrapText="1"/>
      <protection locked="0"/>
    </xf>
    <xf numFmtId="0" fontId="10" fillId="6" borderId="105" xfId="0" applyFont="1" applyFill="1" applyBorder="1" applyAlignment="1" applyProtection="1">
      <alignment horizontal="center" vertical="center" wrapText="1"/>
      <protection locked="0"/>
    </xf>
    <xf numFmtId="0" fontId="28" fillId="2" borderId="18" xfId="0" applyFont="1" applyFill="1" applyBorder="1" applyAlignment="1" applyProtection="1">
      <alignment horizontal="center" vertical="center"/>
    </xf>
    <xf numFmtId="0" fontId="28" fillId="2" borderId="14" xfId="0" applyFont="1" applyFill="1" applyBorder="1" applyAlignment="1" applyProtection="1">
      <alignment horizontal="center" vertical="center"/>
    </xf>
    <xf numFmtId="0" fontId="10" fillId="2" borderId="32" xfId="0" applyFont="1" applyFill="1" applyBorder="1" applyAlignment="1" applyProtection="1">
      <alignment horizontal="left" vertical="center"/>
    </xf>
    <xf numFmtId="0" fontId="10" fillId="2" borderId="0" xfId="0" applyFont="1" applyFill="1" applyAlignment="1" applyProtection="1">
      <alignment horizontal="left" vertical="center"/>
    </xf>
    <xf numFmtId="0" fontId="10" fillId="2" borderId="70" xfId="0" applyFont="1" applyFill="1" applyBorder="1" applyAlignment="1" applyProtection="1">
      <alignment horizontal="center" vertical="center"/>
    </xf>
    <xf numFmtId="0" fontId="10" fillId="2" borderId="83" xfId="0" applyFont="1" applyFill="1" applyBorder="1" applyAlignment="1" applyProtection="1">
      <alignment horizontal="center" vertical="center"/>
    </xf>
    <xf numFmtId="0" fontId="29" fillId="2" borderId="18" xfId="0" applyFont="1" applyFill="1" applyBorder="1" applyAlignment="1" applyProtection="1">
      <alignment horizontal="left" vertical="center" shrinkToFit="1"/>
    </xf>
    <xf numFmtId="0" fontId="29" fillId="2" borderId="14" xfId="0" applyFont="1" applyFill="1" applyBorder="1" applyAlignment="1" applyProtection="1">
      <alignment horizontal="left" vertical="center" shrinkToFit="1"/>
    </xf>
    <xf numFmtId="181" fontId="10" fillId="2" borderId="82" xfId="0" applyNumberFormat="1" applyFont="1" applyFill="1" applyBorder="1" applyAlignment="1" applyProtection="1">
      <alignment horizontal="center" vertical="center" shrinkToFit="1"/>
    </xf>
    <xf numFmtId="181" fontId="10" fillId="2" borderId="83" xfId="0" applyNumberFormat="1" applyFont="1" applyFill="1" applyBorder="1" applyAlignment="1" applyProtection="1">
      <alignment horizontal="center" vertical="center" shrinkToFit="1"/>
    </xf>
    <xf numFmtId="181" fontId="10" fillId="2" borderId="84" xfId="0" applyNumberFormat="1" applyFont="1" applyFill="1" applyBorder="1" applyAlignment="1" applyProtection="1">
      <alignment horizontal="center" vertical="center" shrinkToFit="1"/>
    </xf>
    <xf numFmtId="0" fontId="38" fillId="2" borderId="36" xfId="0" applyFont="1" applyFill="1" applyBorder="1" applyAlignment="1" applyProtection="1">
      <alignment horizontal="center" vertical="center"/>
    </xf>
    <xf numFmtId="0" fontId="38" fillId="2" borderId="0" xfId="0" applyFont="1" applyFill="1" applyBorder="1" applyAlignment="1" applyProtection="1">
      <alignment horizontal="center" vertical="center"/>
    </xf>
    <xf numFmtId="0" fontId="10" fillId="2" borderId="0" xfId="0" applyNumberFormat="1" applyFont="1" applyFill="1" applyBorder="1" applyAlignment="1" applyProtection="1">
      <alignment horizontal="distributed" vertical="center"/>
    </xf>
    <xf numFmtId="0" fontId="14" fillId="2" borderId="36" xfId="0" applyFont="1" applyFill="1" applyBorder="1" applyAlignment="1" applyProtection="1">
      <alignment horizontal="left" vertical="center"/>
    </xf>
    <xf numFmtId="0" fontId="14" fillId="2" borderId="0" xfId="0" applyFont="1" applyFill="1" applyBorder="1" applyAlignment="1" applyProtection="1">
      <alignment horizontal="left" vertical="center"/>
    </xf>
    <xf numFmtId="0" fontId="14" fillId="2" borderId="34" xfId="0" applyFont="1" applyFill="1" applyBorder="1" applyAlignment="1" applyProtection="1">
      <alignment horizontal="left" vertical="center"/>
    </xf>
    <xf numFmtId="0" fontId="10" fillId="2" borderId="70" xfId="0" applyFont="1" applyFill="1" applyBorder="1" applyAlignment="1" applyProtection="1">
      <alignment horizontal="center" vertical="center" shrinkToFit="1"/>
    </xf>
    <xf numFmtId="0" fontId="10" fillId="0" borderId="40" xfId="0" applyFont="1" applyBorder="1" applyAlignment="1" applyProtection="1">
      <alignment horizontal="center" vertical="center"/>
    </xf>
    <xf numFmtId="0" fontId="10" fillId="0" borderId="42" xfId="0" applyFont="1" applyBorder="1" applyAlignment="1" applyProtection="1">
      <alignment horizontal="center" vertical="center"/>
    </xf>
    <xf numFmtId="0" fontId="10" fillId="2" borderId="98" xfId="0" applyFont="1" applyFill="1" applyBorder="1" applyAlignment="1" applyProtection="1">
      <alignment horizontal="center" vertical="center" shrinkToFit="1"/>
    </xf>
    <xf numFmtId="0" fontId="10" fillId="2" borderId="97" xfId="0" applyFont="1" applyFill="1" applyBorder="1" applyAlignment="1" applyProtection="1">
      <alignment horizontal="center" vertical="center"/>
    </xf>
    <xf numFmtId="0" fontId="10" fillId="2" borderId="98" xfId="0" applyFont="1" applyFill="1" applyBorder="1" applyAlignment="1" applyProtection="1">
      <alignment horizontal="center" vertical="center"/>
    </xf>
    <xf numFmtId="0" fontId="10" fillId="2" borderId="17" xfId="0" applyFont="1" applyFill="1" applyBorder="1" applyAlignment="1" applyProtection="1">
      <alignment horizontal="center" vertical="center" wrapText="1" shrinkToFit="1"/>
    </xf>
    <xf numFmtId="0" fontId="10" fillId="2" borderId="18" xfId="0" applyFont="1" applyFill="1" applyBorder="1" applyAlignment="1" applyProtection="1">
      <alignment horizontal="center" vertical="center" wrapText="1" shrinkToFit="1"/>
    </xf>
    <xf numFmtId="0" fontId="10" fillId="2" borderId="14" xfId="0" applyFont="1" applyFill="1" applyBorder="1" applyAlignment="1" applyProtection="1">
      <alignment horizontal="center" vertical="center" wrapText="1" shrinkToFit="1"/>
    </xf>
    <xf numFmtId="0" fontId="12" fillId="2" borderId="18" xfId="0" applyFont="1" applyFill="1" applyBorder="1" applyAlignment="1" applyProtection="1">
      <alignment horizontal="center" vertical="center" shrinkToFit="1"/>
    </xf>
    <xf numFmtId="0" fontId="12" fillId="2" borderId="14" xfId="0" applyFont="1" applyFill="1" applyBorder="1" applyAlignment="1" applyProtection="1">
      <alignment horizontal="center" vertical="center" shrinkToFit="1"/>
    </xf>
    <xf numFmtId="0" fontId="12" fillId="2" borderId="17" xfId="0" applyFont="1" applyFill="1" applyBorder="1" applyAlignment="1" applyProtection="1">
      <alignment horizontal="center" vertical="center" wrapText="1" shrinkToFit="1"/>
    </xf>
    <xf numFmtId="0" fontId="12" fillId="2" borderId="18" xfId="0" applyFont="1" applyFill="1" applyBorder="1" applyAlignment="1" applyProtection="1">
      <alignment horizontal="center" vertical="center" wrapText="1" shrinkToFit="1"/>
    </xf>
    <xf numFmtId="0" fontId="12" fillId="2" borderId="14" xfId="0" applyFont="1" applyFill="1" applyBorder="1" applyAlignment="1" applyProtection="1">
      <alignment horizontal="center" vertical="center" wrapText="1" shrinkToFit="1"/>
    </xf>
    <xf numFmtId="0" fontId="12" fillId="2" borderId="4" xfId="0" applyFont="1" applyFill="1" applyBorder="1" applyAlignment="1" applyProtection="1">
      <alignment horizontal="center" vertical="center"/>
    </xf>
    <xf numFmtId="0" fontId="12" fillId="2" borderId="17" xfId="0" applyFont="1" applyFill="1" applyBorder="1" applyAlignment="1" applyProtection="1">
      <alignment horizontal="center" vertical="center"/>
    </xf>
    <xf numFmtId="0" fontId="12" fillId="2" borderId="18" xfId="0" applyFont="1" applyFill="1" applyBorder="1" applyAlignment="1" applyProtection="1">
      <alignment horizontal="center" vertical="center"/>
    </xf>
    <xf numFmtId="0" fontId="12" fillId="2" borderId="14" xfId="0" applyFont="1" applyFill="1" applyBorder="1" applyAlignment="1" applyProtection="1">
      <alignment horizontal="center" vertical="center"/>
    </xf>
    <xf numFmtId="0" fontId="10" fillId="2" borderId="93" xfId="0" applyFont="1" applyFill="1" applyBorder="1" applyAlignment="1" applyProtection="1">
      <alignment horizontal="center" vertical="center"/>
    </xf>
    <xf numFmtId="0" fontId="10" fillId="2" borderId="6" xfId="0" applyFont="1" applyFill="1" applyBorder="1" applyAlignment="1" applyProtection="1">
      <alignment horizontal="center" vertical="center"/>
    </xf>
    <xf numFmtId="0" fontId="10" fillId="2" borderId="9" xfId="0" applyFont="1" applyFill="1" applyBorder="1" applyAlignment="1" applyProtection="1">
      <alignment horizontal="center" vertical="center"/>
    </xf>
    <xf numFmtId="0" fontId="28" fillId="2" borderId="32" xfId="0" applyFont="1" applyFill="1" applyBorder="1" applyAlignment="1" applyProtection="1">
      <alignment horizontal="left" vertical="center" wrapText="1"/>
    </xf>
    <xf numFmtId="0" fontId="28" fillId="2" borderId="20" xfId="0" applyFont="1" applyFill="1" applyBorder="1" applyAlignment="1" applyProtection="1">
      <alignment horizontal="center" vertical="center"/>
    </xf>
    <xf numFmtId="0" fontId="28" fillId="2" borderId="10" xfId="0" applyFont="1" applyFill="1" applyBorder="1" applyAlignment="1" applyProtection="1">
      <alignment horizontal="center" vertical="center"/>
    </xf>
    <xf numFmtId="0" fontId="28" fillId="2" borderId="13" xfId="0" applyFont="1" applyFill="1" applyBorder="1" applyAlignment="1" applyProtection="1">
      <alignment horizontal="center" vertical="center"/>
    </xf>
    <xf numFmtId="0" fontId="10" fillId="2" borderId="132" xfId="0" applyFont="1" applyFill="1" applyBorder="1" applyAlignment="1" applyProtection="1">
      <alignment horizontal="left" vertical="center" wrapText="1" shrinkToFit="1"/>
    </xf>
    <xf numFmtId="0" fontId="10" fillId="2" borderId="133" xfId="0" applyFont="1" applyFill="1" applyBorder="1" applyAlignment="1" applyProtection="1">
      <alignment horizontal="left" vertical="center" wrapText="1" shrinkToFit="1"/>
    </xf>
    <xf numFmtId="0" fontId="10" fillId="2" borderId="20" xfId="0" applyFont="1" applyFill="1" applyBorder="1" applyAlignment="1" applyProtection="1">
      <alignment horizontal="left" vertical="center" shrinkToFit="1"/>
    </xf>
    <xf numFmtId="0" fontId="10" fillId="2" borderId="10" xfId="0" applyFont="1" applyFill="1" applyBorder="1" applyAlignment="1" applyProtection="1">
      <alignment horizontal="left" vertical="center" shrinkToFit="1"/>
    </xf>
    <xf numFmtId="0" fontId="10" fillId="2" borderId="13" xfId="0" applyFont="1" applyFill="1" applyBorder="1" applyAlignment="1" applyProtection="1">
      <alignment horizontal="left" vertical="center" shrinkToFit="1"/>
    </xf>
    <xf numFmtId="0" fontId="28" fillId="2" borderId="0" xfId="0" applyFont="1" applyFill="1" applyBorder="1" applyAlignment="1" applyProtection="1">
      <alignment horizontal="center" vertical="center"/>
    </xf>
    <xf numFmtId="0" fontId="28" fillId="4" borderId="0" xfId="0" applyFont="1" applyFill="1" applyBorder="1" applyAlignment="1" applyProtection="1">
      <alignment horizontal="center" vertical="center" shrinkToFit="1"/>
      <protection locked="0"/>
    </xf>
    <xf numFmtId="0" fontId="28" fillId="4" borderId="15" xfId="0" applyFont="1" applyFill="1" applyBorder="1" applyAlignment="1" applyProtection="1">
      <alignment horizontal="center" vertical="center" shrinkToFit="1"/>
      <protection locked="0"/>
    </xf>
    <xf numFmtId="0" fontId="28" fillId="2" borderId="19" xfId="0" applyFont="1" applyFill="1" applyBorder="1" applyAlignment="1" applyProtection="1">
      <alignment horizontal="center" vertical="center" shrinkToFit="1"/>
    </xf>
    <xf numFmtId="0" fontId="28" fillId="2" borderId="32" xfId="0" applyFont="1" applyFill="1" applyBorder="1" applyAlignment="1" applyProtection="1">
      <alignment horizontal="center" vertical="center" shrinkToFit="1"/>
    </xf>
    <xf numFmtId="0" fontId="28" fillId="2" borderId="16" xfId="0" applyFont="1" applyFill="1" applyBorder="1" applyAlignment="1" applyProtection="1">
      <alignment horizontal="center" vertical="center" shrinkToFit="1"/>
    </xf>
    <xf numFmtId="0" fontId="28" fillId="2" borderId="20" xfId="0" applyFont="1" applyFill="1" applyBorder="1" applyAlignment="1" applyProtection="1">
      <alignment horizontal="center" vertical="center" shrinkToFit="1"/>
    </xf>
    <xf numFmtId="0" fontId="28" fillId="2" borderId="10" xfId="0" applyFont="1" applyFill="1" applyBorder="1" applyAlignment="1" applyProtection="1">
      <alignment horizontal="center" vertical="center" shrinkToFit="1"/>
    </xf>
    <xf numFmtId="0" fontId="28" fillId="2" borderId="13" xfId="0" applyFont="1" applyFill="1" applyBorder="1" applyAlignment="1" applyProtection="1">
      <alignment horizontal="center" vertical="center" shrinkToFit="1"/>
    </xf>
    <xf numFmtId="0" fontId="39" fillId="2" borderId="103" xfId="0" applyFont="1" applyFill="1" applyBorder="1" applyAlignment="1" applyProtection="1">
      <alignment horizontal="left" vertical="center" wrapText="1"/>
    </xf>
    <xf numFmtId="192" fontId="28" fillId="4" borderId="103" xfId="0" applyNumberFormat="1" applyFont="1" applyFill="1" applyBorder="1" applyAlignment="1" applyProtection="1">
      <alignment horizontal="center" vertical="center" shrinkToFit="1"/>
      <protection locked="0"/>
    </xf>
    <xf numFmtId="0" fontId="35" fillId="2" borderId="0" xfId="0" applyFont="1" applyFill="1" applyAlignment="1" applyProtection="1">
      <alignment horizontal="left" vertical="center" shrinkToFit="1"/>
    </xf>
    <xf numFmtId="0" fontId="10" fillId="2" borderId="99" xfId="0" applyFont="1" applyFill="1" applyBorder="1" applyAlignment="1" applyProtection="1">
      <alignment horizontal="center" vertical="center" wrapText="1"/>
    </xf>
    <xf numFmtId="0" fontId="10" fillId="2" borderId="100" xfId="0" applyFont="1" applyFill="1" applyBorder="1" applyAlignment="1" applyProtection="1">
      <alignment horizontal="center" vertical="center" wrapText="1"/>
    </xf>
    <xf numFmtId="0" fontId="10" fillId="6" borderId="151" xfId="0" applyFont="1" applyFill="1" applyBorder="1" applyAlignment="1" applyProtection="1">
      <alignment horizontal="center" vertical="center" wrapText="1"/>
      <protection locked="0"/>
    </xf>
    <xf numFmtId="0" fontId="10" fillId="6" borderId="207" xfId="0" applyFont="1" applyFill="1" applyBorder="1" applyAlignment="1" applyProtection="1">
      <alignment horizontal="center" vertical="center" wrapText="1"/>
      <protection locked="0"/>
    </xf>
    <xf numFmtId="0" fontId="10" fillId="6" borderId="393" xfId="0" applyFont="1" applyFill="1" applyBorder="1" applyAlignment="1" applyProtection="1">
      <alignment horizontal="center" vertical="center" wrapText="1"/>
      <protection locked="0"/>
    </xf>
    <xf numFmtId="0" fontId="10" fillId="4" borderId="118" xfId="0" applyFont="1" applyFill="1" applyBorder="1" applyAlignment="1" applyProtection="1">
      <alignment horizontal="center" vertical="center" wrapText="1"/>
      <protection locked="0"/>
    </xf>
    <xf numFmtId="0" fontId="10" fillId="0" borderId="32" xfId="0" applyFont="1" applyFill="1" applyBorder="1" applyAlignment="1" applyProtection="1">
      <alignment horizontal="left" vertical="center" wrapText="1"/>
    </xf>
    <xf numFmtId="0" fontId="10" fillId="2" borderId="332" xfId="0" applyFont="1" applyFill="1" applyBorder="1" applyAlignment="1" applyProtection="1">
      <alignment horizontal="center" vertical="center"/>
    </xf>
    <xf numFmtId="0" fontId="10" fillId="2" borderId="140" xfId="0" applyFont="1" applyFill="1" applyBorder="1" applyAlignment="1" applyProtection="1">
      <alignment horizontal="center" vertical="center"/>
    </xf>
    <xf numFmtId="0" fontId="10" fillId="2" borderId="483" xfId="0" applyFont="1" applyFill="1" applyBorder="1" applyAlignment="1" applyProtection="1">
      <alignment horizontal="center" vertical="center"/>
    </xf>
    <xf numFmtId="0" fontId="10" fillId="2" borderId="142" xfId="0" applyFont="1" applyFill="1" applyBorder="1" applyAlignment="1" applyProtection="1">
      <alignment horizontal="center" vertical="center"/>
    </xf>
    <xf numFmtId="0" fontId="10" fillId="2" borderId="484" xfId="0" applyFont="1" applyFill="1" applyBorder="1" applyAlignment="1" applyProtection="1">
      <alignment horizontal="center" vertical="center"/>
    </xf>
    <xf numFmtId="0" fontId="10" fillId="2" borderId="141" xfId="0" applyFont="1" applyFill="1" applyBorder="1" applyAlignment="1" applyProtection="1">
      <alignment horizontal="center" vertical="center"/>
    </xf>
    <xf numFmtId="0" fontId="10" fillId="2" borderId="120" xfId="0" applyFont="1" applyFill="1" applyBorder="1" applyAlignment="1" applyProtection="1">
      <alignment horizontal="center" vertical="center"/>
    </xf>
    <xf numFmtId="0" fontId="10" fillId="2" borderId="128" xfId="0" applyFont="1" applyFill="1" applyBorder="1" applyAlignment="1" applyProtection="1">
      <alignment horizontal="center" vertical="center"/>
    </xf>
    <xf numFmtId="0" fontId="10" fillId="2" borderId="335" xfId="0" applyFont="1" applyFill="1" applyBorder="1" applyAlignment="1" applyProtection="1">
      <alignment horizontal="center" vertical="center"/>
    </xf>
    <xf numFmtId="0" fontId="10" fillId="2" borderId="122" xfId="0" applyFont="1" applyFill="1" applyBorder="1" applyAlignment="1" applyProtection="1">
      <alignment horizontal="center" vertical="center"/>
    </xf>
    <xf numFmtId="0" fontId="10" fillId="2" borderId="153" xfId="0" applyFont="1" applyFill="1" applyBorder="1" applyAlignment="1" applyProtection="1">
      <alignment horizontal="right" vertical="center" shrinkToFit="1"/>
    </xf>
    <xf numFmtId="0" fontId="10" fillId="2" borderId="157" xfId="0" applyFont="1" applyFill="1" applyBorder="1" applyAlignment="1" applyProtection="1">
      <alignment horizontal="right" vertical="center" shrinkToFit="1"/>
    </xf>
    <xf numFmtId="0" fontId="10" fillId="4" borderId="289" xfId="0" applyFont="1" applyFill="1" applyBorder="1" applyAlignment="1" applyProtection="1">
      <alignment horizontal="center" vertical="center" shrinkToFit="1"/>
      <protection locked="0"/>
    </xf>
    <xf numFmtId="0" fontId="10" fillId="4" borderId="156" xfId="0" applyFont="1" applyFill="1" applyBorder="1" applyAlignment="1" applyProtection="1">
      <alignment horizontal="center" vertical="center" shrinkToFit="1"/>
      <protection locked="0"/>
    </xf>
    <xf numFmtId="0" fontId="10" fillId="2" borderId="19" xfId="0" applyFont="1" applyFill="1" applyBorder="1" applyAlignment="1" applyProtection="1">
      <alignment horizontal="left" vertical="center"/>
    </xf>
    <xf numFmtId="0" fontId="10" fillId="2" borderId="16" xfId="0" applyFont="1" applyFill="1" applyBorder="1" applyAlignment="1" applyProtection="1">
      <alignment horizontal="left" vertical="center"/>
    </xf>
    <xf numFmtId="0" fontId="10" fillId="2" borderId="86" xfId="0" applyFont="1" applyFill="1" applyBorder="1" applyAlignment="1" applyProtection="1">
      <alignment horizontal="left" vertical="center" shrinkToFit="1"/>
    </xf>
    <xf numFmtId="0" fontId="14" fillId="2" borderId="10" xfId="0" applyFont="1" applyFill="1" applyBorder="1" applyAlignment="1" applyProtection="1">
      <alignment horizontal="left" vertical="center" shrinkToFit="1"/>
    </xf>
    <xf numFmtId="0" fontId="14" fillId="2" borderId="95" xfId="0" applyFont="1" applyFill="1" applyBorder="1" applyAlignment="1" applyProtection="1">
      <alignment horizontal="left" vertical="center" shrinkToFit="1"/>
    </xf>
    <xf numFmtId="0" fontId="10" fillId="6" borderId="156" xfId="0" applyFont="1" applyFill="1" applyBorder="1" applyAlignment="1" applyProtection="1">
      <alignment horizontal="center" vertical="center" shrinkToFit="1"/>
      <protection locked="0"/>
    </xf>
    <xf numFmtId="0" fontId="10" fillId="6" borderId="86" xfId="0" applyFont="1" applyFill="1" applyBorder="1" applyAlignment="1" applyProtection="1">
      <alignment horizontal="center" vertical="center" shrinkToFit="1"/>
      <protection locked="0"/>
    </xf>
    <xf numFmtId="0" fontId="10" fillId="6" borderId="392" xfId="0" applyFont="1" applyFill="1" applyBorder="1" applyAlignment="1" applyProtection="1">
      <alignment horizontal="center" vertical="center" shrinkToFit="1"/>
      <protection locked="0"/>
    </xf>
    <xf numFmtId="0" fontId="10" fillId="6" borderId="157" xfId="0" applyFont="1" applyFill="1" applyBorder="1" applyAlignment="1" applyProtection="1">
      <alignment horizontal="center" vertical="center" shrinkToFit="1"/>
      <protection locked="0"/>
    </xf>
    <xf numFmtId="0" fontId="10" fillId="6" borderId="136" xfId="0" applyFont="1" applyFill="1" applyBorder="1" applyAlignment="1" applyProtection="1">
      <alignment horizontal="center" vertical="center" shrinkToFit="1"/>
      <protection locked="0"/>
    </xf>
    <xf numFmtId="0" fontId="10" fillId="6" borderId="486" xfId="0" applyFont="1" applyFill="1" applyBorder="1" applyAlignment="1" applyProtection="1">
      <alignment horizontal="center" vertical="center" shrinkToFit="1"/>
      <protection locked="0"/>
    </xf>
    <xf numFmtId="0" fontId="10" fillId="2" borderId="19" xfId="0" applyFont="1" applyFill="1" applyBorder="1" applyAlignment="1" applyProtection="1">
      <alignment horizontal="left" vertical="center" shrinkToFit="1"/>
    </xf>
    <xf numFmtId="0" fontId="10" fillId="2" borderId="16" xfId="0" applyFont="1" applyFill="1" applyBorder="1" applyAlignment="1" applyProtection="1">
      <alignment horizontal="left" vertical="center" shrinkToFit="1"/>
    </xf>
    <xf numFmtId="0" fontId="10" fillId="2" borderId="112" xfId="0" applyFont="1" applyFill="1" applyBorder="1" applyAlignment="1" applyProtection="1">
      <alignment horizontal="center" vertical="center" shrinkToFit="1"/>
    </xf>
    <xf numFmtId="0" fontId="10" fillId="5" borderId="289" xfId="0" applyFont="1" applyFill="1" applyBorder="1" applyAlignment="1" applyProtection="1">
      <alignment horizontal="center" vertical="center" shrinkToFit="1"/>
      <protection locked="0"/>
    </xf>
    <xf numFmtId="0" fontId="10" fillId="5" borderId="156" xfId="0" applyFont="1" applyFill="1" applyBorder="1" applyAlignment="1" applyProtection="1">
      <alignment horizontal="center" vertical="center" shrinkToFit="1"/>
      <protection locked="0"/>
    </xf>
    <xf numFmtId="0" fontId="10" fillId="5" borderId="86" xfId="0" applyFont="1" applyFill="1" applyBorder="1" applyAlignment="1" applyProtection="1">
      <alignment horizontal="center" vertical="center" shrinkToFit="1"/>
      <protection locked="0"/>
    </xf>
    <xf numFmtId="0" fontId="10" fillId="2" borderId="136" xfId="0" applyFont="1" applyFill="1" applyBorder="1" applyAlignment="1" applyProtection="1">
      <alignment horizontal="left" vertical="center" shrinkToFit="1"/>
    </xf>
    <xf numFmtId="0" fontId="10" fillId="5" borderId="136" xfId="0" applyFont="1" applyFill="1" applyBorder="1" applyAlignment="1" applyProtection="1">
      <alignment horizontal="center" vertical="center" shrinkToFit="1"/>
      <protection locked="0"/>
    </xf>
    <xf numFmtId="0" fontId="10" fillId="2" borderId="333" xfId="0" applyFont="1" applyFill="1" applyBorder="1" applyAlignment="1" applyProtection="1">
      <alignment horizontal="center" vertical="center"/>
    </xf>
    <xf numFmtId="0" fontId="10" fillId="2" borderId="334" xfId="0" applyFont="1" applyFill="1" applyBorder="1" applyAlignment="1" applyProtection="1">
      <alignment horizontal="center" vertical="center"/>
    </xf>
    <xf numFmtId="0" fontId="39" fillId="2" borderId="154" xfId="0" applyFont="1" applyFill="1" applyBorder="1" applyAlignment="1" applyProtection="1">
      <alignment horizontal="left" vertical="center" wrapText="1"/>
    </xf>
    <xf numFmtId="0" fontId="39" fillId="2" borderId="148" xfId="0" applyFont="1" applyFill="1" applyBorder="1" applyAlignment="1" applyProtection="1">
      <alignment horizontal="left" vertical="center" wrapText="1"/>
    </xf>
    <xf numFmtId="0" fontId="39" fillId="2" borderId="155" xfId="0" applyFont="1" applyFill="1" applyBorder="1" applyAlignment="1" applyProtection="1">
      <alignment horizontal="left" vertical="center" wrapText="1"/>
    </xf>
    <xf numFmtId="0" fontId="10" fillId="2" borderId="336" xfId="0" applyFont="1" applyFill="1" applyBorder="1" applyAlignment="1" applyProtection="1">
      <alignment horizontal="center" vertical="center"/>
    </xf>
    <xf numFmtId="0" fontId="10" fillId="2" borderId="139" xfId="0" applyFont="1" applyFill="1" applyBorder="1" applyAlignment="1" applyProtection="1">
      <alignment horizontal="center" vertical="center"/>
    </xf>
    <xf numFmtId="0" fontId="10" fillId="2" borderId="337" xfId="0" applyFont="1" applyFill="1" applyBorder="1" applyAlignment="1" applyProtection="1">
      <alignment horizontal="center" vertical="center"/>
    </xf>
    <xf numFmtId="0" fontId="10" fillId="2" borderId="94" xfId="0" applyFont="1" applyFill="1" applyBorder="1" applyAlignment="1" applyProtection="1">
      <alignment horizontal="center" vertical="center"/>
    </xf>
    <xf numFmtId="0" fontId="10" fillId="6" borderId="121" xfId="0" applyFont="1" applyFill="1" applyBorder="1" applyAlignment="1" applyProtection="1">
      <alignment horizontal="center" vertical="center" wrapText="1"/>
      <protection locked="0"/>
    </xf>
    <xf numFmtId="0" fontId="10" fillId="2" borderId="150" xfId="0" applyFont="1" applyFill="1" applyBorder="1" applyAlignment="1" applyProtection="1">
      <alignment horizontal="center" vertical="center" wrapText="1"/>
    </xf>
    <xf numFmtId="0" fontId="10" fillId="2" borderId="156" xfId="0" applyFont="1" applyFill="1" applyBorder="1" applyAlignment="1" applyProtection="1">
      <alignment horizontal="center" vertical="center" wrapText="1"/>
    </xf>
    <xf numFmtId="0" fontId="10" fillId="2" borderId="123" xfId="0" applyFont="1" applyFill="1" applyBorder="1" applyAlignment="1" applyProtection="1">
      <alignment horizontal="center" vertical="center"/>
    </xf>
    <xf numFmtId="0" fontId="10" fillId="2" borderId="123" xfId="0" applyFont="1" applyFill="1" applyBorder="1" applyAlignment="1" applyProtection="1">
      <alignment horizontal="left" vertical="center"/>
    </xf>
    <xf numFmtId="0" fontId="10" fillId="2" borderId="15" xfId="0" applyFont="1" applyFill="1" applyBorder="1" applyAlignment="1" applyProtection="1">
      <alignment horizontal="center" vertical="center" shrinkToFit="1"/>
    </xf>
    <xf numFmtId="0" fontId="10" fillId="2" borderId="102" xfId="0" applyFont="1" applyFill="1" applyBorder="1" applyAlignment="1" applyProtection="1">
      <alignment horizontal="center" vertical="center" wrapText="1"/>
    </xf>
    <xf numFmtId="0" fontId="10" fillId="2" borderId="130" xfId="0" applyFont="1" applyFill="1" applyBorder="1" applyAlignment="1" applyProtection="1">
      <alignment horizontal="center" vertical="center" wrapText="1"/>
    </xf>
    <xf numFmtId="0" fontId="10" fillId="2" borderId="101" xfId="0" applyFont="1" applyFill="1" applyBorder="1" applyAlignment="1" applyProtection="1">
      <alignment horizontal="left" vertical="center" shrinkToFit="1"/>
    </xf>
    <xf numFmtId="0" fontId="10" fillId="2" borderId="117" xfId="0" applyFont="1" applyFill="1" applyBorder="1" applyAlignment="1" applyProtection="1">
      <alignment horizontal="center" vertical="center" wrapText="1"/>
    </xf>
    <xf numFmtId="0" fontId="10" fillId="2" borderId="118" xfId="0" applyFont="1" applyFill="1" applyBorder="1" applyAlignment="1" applyProtection="1">
      <alignment horizontal="center" vertical="center" wrapText="1"/>
    </xf>
    <xf numFmtId="0" fontId="10" fillId="2" borderId="124" xfId="0" applyFont="1" applyFill="1" applyBorder="1" applyAlignment="1" applyProtection="1">
      <alignment horizontal="left" vertical="center" wrapText="1"/>
    </xf>
    <xf numFmtId="0" fontId="10" fillId="2" borderId="164" xfId="0" applyFont="1" applyFill="1" applyBorder="1" applyAlignment="1" applyProtection="1">
      <alignment horizontal="center" vertical="center"/>
    </xf>
    <xf numFmtId="0" fontId="10" fillId="2" borderId="164" xfId="0" applyFont="1" applyFill="1" applyBorder="1" applyAlignment="1" applyProtection="1">
      <alignment horizontal="left" vertical="center" wrapText="1"/>
    </xf>
    <xf numFmtId="0" fontId="10" fillId="2" borderId="124" xfId="0" applyFont="1" applyFill="1" applyBorder="1" applyAlignment="1" applyProtection="1">
      <alignment horizontal="center" vertical="center"/>
    </xf>
    <xf numFmtId="0" fontId="10" fillId="2" borderId="13" xfId="0" applyFont="1" applyFill="1" applyBorder="1" applyAlignment="1" applyProtection="1">
      <alignment horizontal="center" vertical="center" wrapText="1"/>
    </xf>
    <xf numFmtId="0" fontId="10" fillId="5" borderId="0" xfId="0" applyFont="1" applyFill="1" applyBorder="1" applyAlignment="1" applyProtection="1">
      <alignment horizontal="center" vertical="center" wrapText="1"/>
      <protection locked="0"/>
    </xf>
    <xf numFmtId="0" fontId="39" fillId="2" borderId="20" xfId="0" applyFont="1" applyFill="1" applyBorder="1" applyAlignment="1" applyProtection="1">
      <alignment horizontal="left" vertical="center" wrapText="1"/>
    </xf>
    <xf numFmtId="0" fontId="39" fillId="2" borderId="10" xfId="0" applyFont="1" applyFill="1" applyBorder="1" applyAlignment="1" applyProtection="1">
      <alignment horizontal="left" vertical="center" wrapText="1"/>
    </xf>
    <xf numFmtId="0" fontId="10" fillId="2" borderId="438" xfId="0" applyFont="1" applyFill="1" applyBorder="1" applyAlignment="1" applyProtection="1">
      <alignment horizontal="center" vertical="center" shrinkToFit="1"/>
    </xf>
    <xf numFmtId="0" fontId="10" fillId="2" borderId="119" xfId="0" applyFont="1" applyFill="1" applyBorder="1" applyAlignment="1" applyProtection="1">
      <alignment horizontal="center" vertical="center" shrinkToFit="1"/>
    </xf>
    <xf numFmtId="0" fontId="10" fillId="0" borderId="18" xfId="0" applyFont="1" applyBorder="1" applyAlignment="1" applyProtection="1">
      <alignment horizontal="center" vertical="center"/>
    </xf>
    <xf numFmtId="0" fontId="10" fillId="2" borderId="101" xfId="0" applyFont="1" applyFill="1" applyBorder="1" applyAlignment="1" applyProtection="1">
      <alignment horizontal="center" vertical="center" wrapText="1"/>
    </xf>
    <xf numFmtId="0" fontId="10" fillId="5" borderId="151" xfId="0" applyFont="1" applyFill="1" applyBorder="1" applyAlignment="1" applyProtection="1">
      <alignment horizontal="center" vertical="center" shrinkToFit="1"/>
      <protection locked="0"/>
    </xf>
    <xf numFmtId="0" fontId="10" fillId="5" borderId="207" xfId="0" applyFont="1" applyFill="1" applyBorder="1" applyAlignment="1" applyProtection="1">
      <alignment horizontal="center" vertical="center" shrinkToFit="1"/>
      <protection locked="0"/>
    </xf>
    <xf numFmtId="0" fontId="10" fillId="5" borderId="85" xfId="0" applyFont="1" applyFill="1" applyBorder="1" applyAlignment="1" applyProtection="1">
      <alignment horizontal="center" vertical="center" shrinkToFit="1"/>
      <protection locked="0"/>
    </xf>
    <xf numFmtId="0" fontId="28" fillId="2" borderId="0" xfId="0" applyFont="1" applyFill="1" applyBorder="1" applyAlignment="1" applyProtection="1">
      <alignment horizontal="left" vertical="center"/>
    </xf>
    <xf numFmtId="0" fontId="40" fillId="2" borderId="63" xfId="0" applyFont="1" applyFill="1" applyBorder="1" applyAlignment="1" applyProtection="1">
      <alignment horizontal="left" vertical="center" wrapText="1"/>
    </xf>
    <xf numFmtId="0" fontId="10" fillId="5" borderId="485" xfId="0" applyFont="1" applyFill="1" applyBorder="1" applyAlignment="1" applyProtection="1">
      <alignment horizontal="center" vertical="center" shrinkToFit="1"/>
      <protection locked="0"/>
    </xf>
    <xf numFmtId="0" fontId="10" fillId="5" borderId="157" xfId="0" applyFont="1" applyFill="1" applyBorder="1" applyAlignment="1" applyProtection="1">
      <alignment horizontal="center" vertical="center" shrinkToFit="1"/>
      <protection locked="0"/>
    </xf>
    <xf numFmtId="0" fontId="39" fillId="2" borderId="208" xfId="0" applyFont="1" applyFill="1" applyBorder="1" applyAlignment="1" applyProtection="1">
      <alignment horizontal="left" vertical="center" wrapText="1"/>
    </xf>
    <xf numFmtId="0" fontId="39" fillId="2" borderId="209" xfId="0" applyFont="1" applyFill="1" applyBorder="1" applyAlignment="1" applyProtection="1">
      <alignment horizontal="left" vertical="center" wrapText="1"/>
    </xf>
    <xf numFmtId="0" fontId="10" fillId="4" borderId="100" xfId="0" applyFont="1" applyFill="1" applyBorder="1" applyAlignment="1" applyProtection="1">
      <alignment horizontal="center" vertical="center" wrapText="1"/>
      <protection locked="0"/>
    </xf>
    <xf numFmtId="0" fontId="10" fillId="2" borderId="121" xfId="0" applyFont="1" applyFill="1" applyBorder="1" applyAlignment="1" applyProtection="1">
      <alignment horizontal="center" vertical="center" wrapText="1"/>
    </xf>
    <xf numFmtId="0" fontId="10" fillId="2" borderId="119" xfId="0" applyFont="1" applyFill="1" applyBorder="1" applyAlignment="1" applyProtection="1">
      <alignment horizontal="center" vertical="center" wrapText="1"/>
    </xf>
    <xf numFmtId="0" fontId="28" fillId="2" borderId="103" xfId="0" applyFont="1" applyFill="1" applyBorder="1" applyAlignment="1" applyProtection="1">
      <alignment horizontal="center" vertical="center" shrinkToFit="1"/>
    </xf>
    <xf numFmtId="0" fontId="10" fillId="0" borderId="4" xfId="0" applyFont="1" applyBorder="1" applyAlignment="1">
      <alignment horizontal="center" vertical="center"/>
    </xf>
    <xf numFmtId="0" fontId="10" fillId="6" borderId="0" xfId="0" applyFont="1" applyFill="1" applyBorder="1" applyAlignment="1" applyProtection="1">
      <alignment horizontal="center" vertical="center" wrapText="1"/>
      <protection locked="0"/>
    </xf>
    <xf numFmtId="0" fontId="10" fillId="5" borderId="121" xfId="0" applyFont="1" applyFill="1" applyBorder="1" applyAlignment="1" applyProtection="1">
      <alignment horizontal="center" vertical="center" wrapText="1"/>
      <protection locked="0"/>
    </xf>
    <xf numFmtId="0" fontId="28" fillId="2" borderId="18" xfId="0" applyFont="1" applyFill="1" applyBorder="1" applyAlignment="1" applyProtection="1">
      <alignment horizontal="left" vertical="center"/>
    </xf>
    <xf numFmtId="0" fontId="28" fillId="2" borderId="14" xfId="0" applyFont="1" applyFill="1" applyBorder="1" applyAlignment="1" applyProtection="1">
      <alignment horizontal="left" vertical="center"/>
    </xf>
    <xf numFmtId="0" fontId="28" fillId="2" borderId="21" xfId="0" applyFont="1" applyFill="1" applyBorder="1" applyAlignment="1" applyProtection="1">
      <alignment horizontal="center" vertical="center"/>
    </xf>
    <xf numFmtId="0" fontId="48" fillId="2" borderId="0" xfId="0" applyFont="1" applyFill="1" applyAlignment="1" applyProtection="1">
      <alignment horizontal="left" vertical="center" shrinkToFit="1"/>
    </xf>
    <xf numFmtId="0" fontId="28" fillId="4" borderId="175" xfId="0" applyFont="1" applyFill="1" applyBorder="1" applyAlignment="1" applyProtection="1">
      <alignment horizontal="left" vertical="center" shrinkToFit="1"/>
      <protection locked="0"/>
    </xf>
    <xf numFmtId="0" fontId="28" fillId="4" borderId="176" xfId="0" applyFont="1" applyFill="1" applyBorder="1" applyAlignment="1" applyProtection="1">
      <alignment horizontal="left" vertical="center" shrinkToFit="1"/>
      <protection locked="0"/>
    </xf>
    <xf numFmtId="0" fontId="28" fillId="4" borderId="177" xfId="0" applyFont="1" applyFill="1" applyBorder="1" applyAlignment="1" applyProtection="1">
      <alignment horizontal="left" vertical="center" shrinkToFit="1"/>
      <protection locked="0"/>
    </xf>
    <xf numFmtId="0" fontId="28" fillId="4" borderId="172" xfId="0" applyFont="1" applyFill="1" applyBorder="1" applyAlignment="1" applyProtection="1">
      <alignment horizontal="left" vertical="center" shrinkToFit="1"/>
      <protection locked="0"/>
    </xf>
    <xf numFmtId="0" fontId="28" fillId="4" borderId="173" xfId="0" applyFont="1" applyFill="1" applyBorder="1" applyAlignment="1" applyProtection="1">
      <alignment horizontal="left" vertical="center" shrinkToFit="1"/>
      <protection locked="0"/>
    </xf>
    <xf numFmtId="0" fontId="28" fillId="4" borderId="174" xfId="0" applyFont="1" applyFill="1" applyBorder="1" applyAlignment="1" applyProtection="1">
      <alignment horizontal="left" vertical="center" shrinkToFit="1"/>
      <protection locked="0"/>
    </xf>
    <xf numFmtId="0" fontId="71" fillId="2" borderId="4" xfId="0" applyFont="1" applyFill="1" applyBorder="1" applyAlignment="1" applyProtection="1">
      <alignment horizontal="center" vertical="center" textRotation="255" wrapText="1"/>
    </xf>
    <xf numFmtId="0" fontId="28" fillId="4" borderId="171" xfId="0" applyFont="1" applyFill="1" applyBorder="1" applyAlignment="1" applyProtection="1">
      <alignment horizontal="center" vertical="center" shrinkToFit="1"/>
      <protection locked="0"/>
    </xf>
    <xf numFmtId="0" fontId="47" fillId="2" borderId="17" xfId="0" applyFont="1" applyFill="1" applyBorder="1" applyAlignment="1" applyProtection="1">
      <alignment horizontal="center" vertical="center"/>
    </xf>
    <xf numFmtId="0" fontId="47" fillId="2" borderId="18" xfId="0" applyFont="1" applyFill="1" applyBorder="1" applyAlignment="1" applyProtection="1">
      <alignment horizontal="center" vertical="center"/>
    </xf>
    <xf numFmtId="0" fontId="47" fillId="2" borderId="14" xfId="0" applyFont="1" applyFill="1" applyBorder="1" applyAlignment="1" applyProtection="1">
      <alignment horizontal="center" vertical="center"/>
    </xf>
    <xf numFmtId="0" fontId="47" fillId="2" borderId="6" xfId="0" applyFont="1" applyFill="1" applyBorder="1" applyAlignment="1" applyProtection="1">
      <alignment horizontal="center" vertical="center" textRotation="255"/>
    </xf>
    <xf numFmtId="0" fontId="47" fillId="2" borderId="9" xfId="0" applyFont="1" applyFill="1" applyBorder="1" applyAlignment="1" applyProtection="1">
      <alignment horizontal="center" vertical="center" textRotation="255"/>
    </xf>
    <xf numFmtId="0" fontId="47" fillId="2" borderId="8" xfId="0" applyFont="1" applyFill="1" applyBorder="1" applyAlignment="1" applyProtection="1">
      <alignment horizontal="center" vertical="center" textRotation="255"/>
    </xf>
    <xf numFmtId="0" fontId="28" fillId="4" borderId="169" xfId="0" applyFont="1" applyFill="1" applyBorder="1" applyAlignment="1" applyProtection="1">
      <alignment horizontal="center" vertical="center" shrinkToFit="1"/>
      <protection locked="0"/>
    </xf>
    <xf numFmtId="195" fontId="28" fillId="4" borderId="170" xfId="0" applyNumberFormat="1" applyFont="1" applyFill="1" applyBorder="1" applyAlignment="1" applyProtection="1">
      <alignment horizontal="center" vertical="center" shrinkToFit="1"/>
      <protection locked="0"/>
    </xf>
    <xf numFmtId="0" fontId="28" fillId="4" borderId="170" xfId="0" applyFont="1" applyFill="1" applyBorder="1" applyAlignment="1" applyProtection="1">
      <alignment horizontal="center" vertical="center" shrinkToFit="1"/>
      <protection locked="0"/>
    </xf>
    <xf numFmtId="0" fontId="28" fillId="4" borderId="178" xfId="0" applyFont="1" applyFill="1" applyBorder="1" applyAlignment="1" applyProtection="1">
      <alignment horizontal="left" vertical="center" shrinkToFit="1"/>
      <protection locked="0"/>
    </xf>
    <xf numFmtId="0" fontId="28" fillId="4" borderId="179" xfId="0" applyFont="1" applyFill="1" applyBorder="1" applyAlignment="1" applyProtection="1">
      <alignment horizontal="left" vertical="center" shrinkToFit="1"/>
      <protection locked="0"/>
    </xf>
    <xf numFmtId="0" fontId="28" fillId="4" borderId="180" xfId="0" applyFont="1" applyFill="1" applyBorder="1" applyAlignment="1" applyProtection="1">
      <alignment horizontal="left" vertical="center" shrinkToFit="1"/>
      <protection locked="0"/>
    </xf>
    <xf numFmtId="0" fontId="28" fillId="7" borderId="0" xfId="0" applyFont="1" applyFill="1" applyAlignment="1" applyProtection="1">
      <alignment horizontal="center" vertical="center" shrinkToFit="1"/>
    </xf>
    <xf numFmtId="0" fontId="28" fillId="4" borderId="182" xfId="0" applyFont="1" applyFill="1" applyBorder="1" applyAlignment="1" applyProtection="1">
      <alignment horizontal="left" vertical="center" shrinkToFit="1"/>
      <protection locked="0"/>
    </xf>
    <xf numFmtId="0" fontId="28" fillId="4" borderId="183" xfId="0" applyFont="1" applyFill="1" applyBorder="1" applyAlignment="1" applyProtection="1">
      <alignment horizontal="left" vertical="center" shrinkToFit="1"/>
      <protection locked="0"/>
    </xf>
    <xf numFmtId="0" fontId="28" fillId="4" borderId="184" xfId="0" applyFont="1" applyFill="1" applyBorder="1" applyAlignment="1" applyProtection="1">
      <alignment horizontal="left" vertical="center" shrinkToFit="1"/>
      <protection locked="0"/>
    </xf>
    <xf numFmtId="0" fontId="28" fillId="2" borderId="185" xfId="0" applyFont="1" applyFill="1" applyBorder="1" applyAlignment="1" applyProtection="1">
      <alignment horizontal="left" vertical="center" shrinkToFit="1"/>
    </xf>
    <xf numFmtId="0" fontId="28" fillId="2" borderId="179" xfId="0" applyFont="1" applyFill="1" applyBorder="1" applyAlignment="1" applyProtection="1">
      <alignment horizontal="left" vertical="center" shrinkToFit="1"/>
    </xf>
    <xf numFmtId="0" fontId="28" fillId="2" borderId="180" xfId="0" applyFont="1" applyFill="1" applyBorder="1" applyAlignment="1" applyProtection="1">
      <alignment horizontal="left" vertical="center" shrinkToFit="1"/>
    </xf>
    <xf numFmtId="0" fontId="47" fillId="2" borderId="20" xfId="0" applyFont="1" applyFill="1" applyBorder="1" applyAlignment="1" applyProtection="1">
      <alignment horizontal="center" vertical="center" textRotation="255"/>
    </xf>
    <xf numFmtId="0" fontId="28" fillId="2" borderId="0" xfId="0" applyFont="1" applyFill="1" applyAlignment="1" applyProtection="1">
      <alignment horizontal="left" vertical="center" wrapText="1"/>
    </xf>
    <xf numFmtId="0" fontId="28" fillId="2" borderId="116" xfId="0" applyFont="1" applyFill="1" applyBorder="1" applyAlignment="1" applyProtection="1">
      <alignment horizontal="center" vertical="center"/>
    </xf>
    <xf numFmtId="0" fontId="28" fillId="2" borderId="311" xfId="0" applyFont="1" applyFill="1" applyBorder="1" applyAlignment="1" applyProtection="1">
      <alignment horizontal="center" vertical="center"/>
    </xf>
    <xf numFmtId="0" fontId="44" fillId="4" borderId="86" xfId="0" applyFont="1" applyFill="1" applyBorder="1" applyAlignment="1" applyProtection="1">
      <alignment horizontal="center" vertical="center" shrinkToFit="1"/>
      <protection locked="0"/>
    </xf>
    <xf numFmtId="0" fontId="44" fillId="4" borderId="87" xfId="0" applyFont="1" applyFill="1" applyBorder="1" applyAlignment="1" applyProtection="1">
      <alignment horizontal="center" vertical="center" shrinkToFit="1"/>
      <protection locked="0"/>
    </xf>
    <xf numFmtId="0" fontId="44" fillId="2" borderId="8" xfId="0" applyFont="1" applyFill="1" applyBorder="1" applyAlignment="1" applyProtection="1">
      <alignment horizontal="center" vertical="center" shrinkToFit="1"/>
    </xf>
    <xf numFmtId="0" fontId="44" fillId="2" borderId="20" xfId="0" applyFont="1" applyFill="1" applyBorder="1" applyAlignment="1" applyProtection="1">
      <alignment horizontal="center" vertical="center" shrinkToFit="1"/>
    </xf>
    <xf numFmtId="0" fontId="44" fillId="2" borderId="4" xfId="0" applyFont="1" applyFill="1" applyBorder="1" applyAlignment="1" applyProtection="1">
      <alignment horizontal="center" vertical="center" shrinkToFit="1"/>
    </xf>
    <xf numFmtId="0" fontId="44" fillId="2" borderId="17" xfId="0" applyFont="1" applyFill="1" applyBorder="1" applyAlignment="1" applyProtection="1">
      <alignment horizontal="center" vertical="center" shrinkToFit="1"/>
    </xf>
    <xf numFmtId="0" fontId="44" fillId="2" borderId="105" xfId="0" applyFont="1" applyFill="1" applyBorder="1" applyAlignment="1" applyProtection="1">
      <alignment horizontal="center" vertical="center"/>
    </xf>
    <xf numFmtId="0" fontId="44" fillId="2" borderId="13" xfId="0" applyFont="1" applyFill="1" applyBorder="1" applyAlignment="1" applyProtection="1">
      <alignment horizontal="center" vertical="center"/>
    </xf>
    <xf numFmtId="213" fontId="44" fillId="2" borderId="103" xfId="0" applyNumberFormat="1" applyFont="1" applyFill="1" applyBorder="1" applyAlignment="1" applyProtection="1">
      <alignment horizontal="center" vertical="center" shrinkToFit="1"/>
    </xf>
    <xf numFmtId="213" fontId="44" fillId="2" borderId="208" xfId="0" applyNumberFormat="1" applyFont="1" applyFill="1" applyBorder="1" applyAlignment="1" applyProtection="1">
      <alignment horizontal="center" vertical="center" shrinkToFit="1"/>
    </xf>
    <xf numFmtId="213" fontId="44" fillId="2" borderId="10" xfId="0" applyNumberFormat="1" applyFont="1" applyFill="1" applyBorder="1" applyAlignment="1" applyProtection="1">
      <alignment horizontal="center" vertical="center" shrinkToFit="1"/>
    </xf>
    <xf numFmtId="213" fontId="44" fillId="2" borderId="494" xfId="0" applyNumberFormat="1" applyFont="1" applyFill="1" applyBorder="1" applyAlignment="1" applyProtection="1">
      <alignment horizontal="center" vertical="center" shrinkToFit="1"/>
    </xf>
    <xf numFmtId="0" fontId="44" fillId="2" borderId="410" xfId="0" applyNumberFormat="1" applyFont="1" applyFill="1" applyBorder="1" applyAlignment="1" applyProtection="1">
      <alignment horizontal="center" vertical="center" shrinkToFit="1"/>
    </xf>
    <xf numFmtId="0" fontId="44" fillId="2" borderId="103" xfId="0" applyNumberFormat="1" applyFont="1" applyFill="1" applyBorder="1" applyAlignment="1" applyProtection="1">
      <alignment horizontal="center" vertical="center" shrinkToFit="1"/>
    </xf>
    <xf numFmtId="0" fontId="44" fillId="2" borderId="304" xfId="0" applyNumberFormat="1" applyFont="1" applyFill="1" applyBorder="1" applyAlignment="1" applyProtection="1">
      <alignment horizontal="center" vertical="center" shrinkToFit="1"/>
    </xf>
    <xf numFmtId="0" fontId="44" fillId="2" borderId="10" xfId="0" applyNumberFormat="1" applyFont="1" applyFill="1" applyBorder="1" applyAlignment="1" applyProtection="1">
      <alignment horizontal="center" vertical="center" shrinkToFit="1"/>
    </xf>
    <xf numFmtId="0" fontId="28" fillId="0" borderId="410" xfId="0" applyFont="1" applyBorder="1" applyAlignment="1" applyProtection="1">
      <alignment horizontal="center" vertical="center" shrinkToFit="1"/>
    </xf>
    <xf numFmtId="0" fontId="28" fillId="0" borderId="103" xfId="0" applyFont="1" applyBorder="1" applyAlignment="1" applyProtection="1">
      <alignment horizontal="center" vertical="center" shrinkToFit="1"/>
    </xf>
    <xf numFmtId="0" fontId="28" fillId="0" borderId="304" xfId="0" applyFont="1" applyBorder="1" applyAlignment="1" applyProtection="1">
      <alignment horizontal="center" vertical="center" shrinkToFit="1"/>
    </xf>
    <xf numFmtId="0" fontId="28" fillId="0" borderId="10" xfId="0" applyFont="1" applyBorder="1" applyAlignment="1" applyProtection="1">
      <alignment horizontal="center" vertical="center" shrinkToFit="1"/>
    </xf>
    <xf numFmtId="0" fontId="44" fillId="2" borderId="103" xfId="0" applyFont="1" applyFill="1" applyBorder="1" applyAlignment="1" applyProtection="1">
      <alignment horizontal="center" vertical="center"/>
    </xf>
    <xf numFmtId="0" fontId="44" fillId="2" borderId="10" xfId="0" applyFont="1" applyFill="1" applyBorder="1" applyAlignment="1" applyProtection="1">
      <alignment horizontal="center" vertical="center"/>
    </xf>
    <xf numFmtId="0" fontId="44" fillId="4" borderId="289" xfId="0" applyFont="1" applyFill="1" applyBorder="1" applyAlignment="1" applyProtection="1">
      <alignment horizontal="center" vertical="center" shrinkToFit="1"/>
      <protection locked="0"/>
    </xf>
    <xf numFmtId="0" fontId="44" fillId="4" borderId="136" xfId="0" applyFont="1" applyFill="1" applyBorder="1" applyAlignment="1" applyProtection="1">
      <alignment horizontal="center" vertical="center" shrinkToFit="1"/>
      <protection locked="0"/>
    </xf>
    <xf numFmtId="0" fontId="44" fillId="4" borderId="485" xfId="0" applyFont="1" applyFill="1" applyBorder="1" applyAlignment="1" applyProtection="1">
      <alignment horizontal="center" vertical="center" shrinkToFit="1"/>
      <protection locked="0"/>
    </xf>
    <xf numFmtId="0" fontId="44" fillId="2" borderId="149" xfId="0" applyFont="1" applyFill="1" applyBorder="1" applyAlignment="1" applyProtection="1">
      <alignment horizontal="center" vertical="center" shrinkToFit="1"/>
    </xf>
    <xf numFmtId="0" fontId="44" fillId="2" borderId="156" xfId="0" applyFont="1" applyFill="1" applyBorder="1" applyAlignment="1" applyProtection="1">
      <alignment horizontal="center" vertical="center" shrinkToFit="1"/>
    </xf>
    <xf numFmtId="0" fontId="44" fillId="2" borderId="152" xfId="0" applyFont="1" applyFill="1" applyBorder="1" applyAlignment="1" applyProtection="1">
      <alignment horizontal="center" vertical="center" shrinkToFit="1"/>
    </xf>
    <xf numFmtId="0" fontId="44" fillId="2" borderId="157" xfId="0" applyFont="1" applyFill="1" applyBorder="1" applyAlignment="1" applyProtection="1">
      <alignment horizontal="center" vertical="center" shrinkToFit="1"/>
    </xf>
    <xf numFmtId="0" fontId="44" fillId="6" borderId="156" xfId="0" applyFont="1" applyFill="1" applyBorder="1" applyAlignment="1" applyProtection="1">
      <alignment horizontal="center" vertical="center" shrinkToFit="1"/>
      <protection locked="0"/>
    </xf>
    <xf numFmtId="0" fontId="44" fillId="6" borderId="86" xfId="0" applyFont="1" applyFill="1" applyBorder="1" applyAlignment="1" applyProtection="1">
      <alignment horizontal="center" vertical="center" shrinkToFit="1"/>
      <protection locked="0"/>
    </xf>
    <xf numFmtId="0" fontId="44" fillId="6" borderId="289" xfId="0" applyFont="1" applyFill="1" applyBorder="1" applyAlignment="1" applyProtection="1">
      <alignment horizontal="center" vertical="center" shrinkToFit="1"/>
      <protection locked="0"/>
    </xf>
    <xf numFmtId="0" fontId="44" fillId="4" borderId="137" xfId="0" applyFont="1" applyFill="1" applyBorder="1" applyAlignment="1" applyProtection="1">
      <alignment horizontal="center" vertical="center" shrinkToFit="1"/>
      <protection locked="0"/>
    </xf>
    <xf numFmtId="2" fontId="10" fillId="2" borderId="85" xfId="0" applyNumberFormat="1" applyFont="1" applyFill="1" applyBorder="1" applyAlignment="1" applyProtection="1">
      <alignment horizontal="center" vertical="center"/>
    </xf>
    <xf numFmtId="2" fontId="10" fillId="2" borderId="86" xfId="0" applyNumberFormat="1" applyFont="1" applyFill="1" applyBorder="1" applyAlignment="1" applyProtection="1">
      <alignment horizontal="center" vertical="center"/>
    </xf>
    <xf numFmtId="2" fontId="10" fillId="2" borderId="88" xfId="0" applyNumberFormat="1" applyFont="1" applyFill="1" applyBorder="1" applyAlignment="1" applyProtection="1">
      <alignment horizontal="center" vertical="center"/>
    </xf>
    <xf numFmtId="2" fontId="10" fillId="2" borderId="89" xfId="0" applyNumberFormat="1" applyFont="1" applyFill="1" applyBorder="1" applyAlignment="1" applyProtection="1">
      <alignment horizontal="center" vertical="center"/>
    </xf>
    <xf numFmtId="49" fontId="10" fillId="2" borderId="85" xfId="0" applyNumberFormat="1" applyFont="1" applyFill="1" applyBorder="1" applyAlignment="1" applyProtection="1">
      <alignment horizontal="center" vertical="center"/>
    </xf>
    <xf numFmtId="49" fontId="10" fillId="2" borderId="86" xfId="0" applyNumberFormat="1" applyFont="1" applyFill="1" applyBorder="1" applyAlignment="1" applyProtection="1">
      <alignment horizontal="center" vertical="center"/>
    </xf>
    <xf numFmtId="49" fontId="10" fillId="2" borderId="87" xfId="0" applyNumberFormat="1" applyFont="1" applyFill="1" applyBorder="1" applyAlignment="1" applyProtection="1">
      <alignment horizontal="center" vertical="center"/>
    </xf>
    <xf numFmtId="0" fontId="44" fillId="2" borderId="21" xfId="0" applyFont="1" applyFill="1" applyBorder="1" applyAlignment="1" applyProtection="1">
      <alignment horizontal="center" vertical="center" shrinkToFit="1"/>
    </xf>
    <xf numFmtId="0" fontId="44" fillId="2" borderId="0" xfId="0" applyFont="1" applyFill="1" applyBorder="1" applyAlignment="1" applyProtection="1">
      <alignment horizontal="center" vertical="center" shrinkToFit="1"/>
    </xf>
    <xf numFmtId="180" fontId="10" fillId="2" borderId="17" xfId="0" applyNumberFormat="1" applyFont="1" applyFill="1" applyBorder="1" applyAlignment="1" applyProtection="1">
      <alignment horizontal="center" vertical="center"/>
    </xf>
    <xf numFmtId="180" fontId="10" fillId="2" borderId="18" xfId="0" applyNumberFormat="1" applyFont="1" applyFill="1" applyBorder="1" applyAlignment="1" applyProtection="1">
      <alignment horizontal="center" vertical="center"/>
    </xf>
    <xf numFmtId="0" fontId="28" fillId="0" borderId="19" xfId="0" applyFont="1" applyBorder="1" applyAlignment="1" applyProtection="1">
      <alignment horizontal="center" vertical="center" wrapText="1"/>
    </xf>
    <xf numFmtId="0" fontId="28" fillId="0" borderId="32" xfId="0" applyFont="1" applyBorder="1" applyAlignment="1" applyProtection="1">
      <alignment horizontal="center" vertical="center" wrapText="1"/>
    </xf>
    <xf numFmtId="0" fontId="28" fillId="0" borderId="492" xfId="0" applyFont="1" applyBorder="1" applyAlignment="1" applyProtection="1">
      <alignment horizontal="center" vertical="center" wrapText="1"/>
    </xf>
    <xf numFmtId="0" fontId="28" fillId="0" borderId="63" xfId="0" applyFont="1" applyBorder="1" applyAlignment="1" applyProtection="1">
      <alignment horizontal="center" vertical="center" wrapText="1"/>
    </xf>
    <xf numFmtId="2" fontId="10" fillId="2" borderId="59" xfId="0" applyNumberFormat="1" applyFont="1" applyFill="1" applyBorder="1" applyAlignment="1" applyProtection="1">
      <alignment horizontal="center" vertical="center"/>
    </xf>
    <xf numFmtId="2" fontId="10" fillId="2" borderId="60" xfId="0" applyNumberFormat="1" applyFont="1" applyFill="1" applyBorder="1" applyAlignment="1" applyProtection="1">
      <alignment horizontal="center" vertical="center"/>
    </xf>
    <xf numFmtId="209" fontId="10" fillId="2" borderId="18" xfId="0" applyNumberFormat="1" applyFont="1" applyFill="1" applyBorder="1" applyAlignment="1" applyProtection="1">
      <alignment horizontal="center" vertical="center"/>
    </xf>
    <xf numFmtId="0" fontId="44" fillId="2" borderId="493" xfId="0" applyFont="1" applyFill="1" applyBorder="1" applyAlignment="1" applyProtection="1">
      <alignment horizontal="center" vertical="center"/>
    </xf>
    <xf numFmtId="0" fontId="44" fillId="2" borderId="18" xfId="0" applyFont="1" applyFill="1" applyBorder="1" applyAlignment="1" applyProtection="1">
      <alignment horizontal="center" vertical="center"/>
    </xf>
    <xf numFmtId="0" fontId="44" fillId="2" borderId="14" xfId="0" applyFont="1" applyFill="1" applyBorder="1" applyAlignment="1" applyProtection="1">
      <alignment horizontal="center" vertical="center"/>
    </xf>
    <xf numFmtId="0" fontId="44" fillId="2" borderId="17" xfId="0" applyFont="1" applyFill="1" applyBorder="1" applyAlignment="1" applyProtection="1">
      <alignment horizontal="center" vertical="center"/>
    </xf>
    <xf numFmtId="0" fontId="44" fillId="2" borderId="102" xfId="0" applyFont="1" applyFill="1" applyBorder="1" applyAlignment="1" applyProtection="1">
      <alignment horizontal="center" vertical="center"/>
    </xf>
    <xf numFmtId="0" fontId="44" fillId="2" borderId="130" xfId="0" applyFont="1" applyFill="1" applyBorder="1" applyAlignment="1" applyProtection="1">
      <alignment horizontal="center" vertical="center"/>
    </xf>
    <xf numFmtId="0" fontId="44" fillId="2" borderId="490" xfId="0" applyFont="1" applyFill="1" applyBorder="1" applyAlignment="1" applyProtection="1">
      <alignment horizontal="center" vertical="center"/>
    </xf>
    <xf numFmtId="0" fontId="44" fillId="3" borderId="491" xfId="0" applyFont="1" applyFill="1" applyBorder="1" applyAlignment="1" applyProtection="1">
      <alignment horizontal="center" vertical="center"/>
    </xf>
    <xf numFmtId="0" fontId="44" fillId="3" borderId="110" xfId="0" applyFont="1" applyFill="1" applyBorder="1" applyAlignment="1" applyProtection="1">
      <alignment horizontal="center" vertical="center"/>
    </xf>
    <xf numFmtId="0" fontId="44" fillId="3" borderId="54" xfId="0" applyFont="1" applyFill="1" applyBorder="1" applyAlignment="1" applyProtection="1">
      <alignment horizontal="center" vertical="center"/>
    </xf>
    <xf numFmtId="0" fontId="44" fillId="6" borderId="132" xfId="0" applyFont="1" applyFill="1" applyBorder="1" applyAlignment="1" applyProtection="1">
      <alignment horizontal="center" vertical="center" shrinkToFit="1"/>
      <protection locked="0"/>
    </xf>
    <xf numFmtId="0" fontId="44" fillId="6" borderId="136" xfId="0" applyFont="1" applyFill="1" applyBorder="1" applyAlignment="1" applyProtection="1">
      <alignment horizontal="center" vertical="center" shrinkToFit="1"/>
      <protection locked="0"/>
    </xf>
    <xf numFmtId="0" fontId="44" fillId="2" borderId="104" xfId="0" applyFont="1" applyFill="1" applyBorder="1" applyAlignment="1" applyProtection="1">
      <alignment horizontal="center" vertical="center" shrinkToFit="1"/>
    </xf>
    <xf numFmtId="0" fontId="44" fillId="2" borderId="103" xfId="0" applyFont="1" applyFill="1" applyBorder="1" applyAlignment="1" applyProtection="1">
      <alignment horizontal="center" vertical="center" shrinkToFit="1"/>
    </xf>
    <xf numFmtId="0" fontId="44" fillId="2" borderId="105" xfId="0" applyFont="1" applyFill="1" applyBorder="1" applyAlignment="1" applyProtection="1">
      <alignment horizontal="center" vertical="center" shrinkToFit="1"/>
    </xf>
    <xf numFmtId="0" fontId="44" fillId="2" borderId="129" xfId="0" applyFont="1" applyFill="1" applyBorder="1" applyAlignment="1" applyProtection="1">
      <alignment horizontal="center" vertical="center" shrinkToFit="1"/>
    </xf>
    <xf numFmtId="0" fontId="44" fillId="2" borderId="121" xfId="0" applyFont="1" applyFill="1" applyBorder="1" applyAlignment="1" applyProtection="1">
      <alignment horizontal="center" vertical="center" shrinkToFit="1"/>
    </xf>
    <xf numFmtId="0" fontId="44" fillId="2" borderId="122" xfId="0" applyFont="1" applyFill="1" applyBorder="1" applyAlignment="1" applyProtection="1">
      <alignment horizontal="center" vertical="center" shrinkToFit="1"/>
    </xf>
    <xf numFmtId="49" fontId="10" fillId="2" borderId="59" xfId="0" applyNumberFormat="1" applyFont="1" applyFill="1" applyBorder="1" applyAlignment="1" applyProtection="1">
      <alignment horizontal="center" vertical="center"/>
    </xf>
    <xf numFmtId="49" fontId="10" fillId="2" borderId="60" xfId="0" applyNumberFormat="1" applyFont="1" applyFill="1" applyBorder="1" applyAlignment="1" applyProtection="1">
      <alignment horizontal="center" vertical="center"/>
    </xf>
    <xf numFmtId="49" fontId="10" fillId="2" borderId="61" xfId="0" applyNumberFormat="1" applyFont="1" applyFill="1" applyBorder="1" applyAlignment="1" applyProtection="1">
      <alignment horizontal="center" vertical="center"/>
    </xf>
    <xf numFmtId="0" fontId="44" fillId="5" borderId="10" xfId="0" applyFont="1" applyFill="1" applyBorder="1" applyAlignment="1" applyProtection="1">
      <alignment horizontal="center" vertical="center"/>
    </xf>
    <xf numFmtId="0" fontId="44" fillId="6" borderId="218" xfId="0" applyFont="1" applyFill="1" applyBorder="1" applyAlignment="1" applyProtection="1">
      <alignment horizontal="center" vertical="center" shrinkToFit="1"/>
      <protection locked="0"/>
    </xf>
    <xf numFmtId="38" fontId="44" fillId="4" borderId="214" xfId="4" applyFont="1" applyFill="1" applyBorder="1" applyAlignment="1" applyProtection="1">
      <alignment horizontal="center" vertical="center" shrinkToFit="1"/>
      <protection locked="0"/>
    </xf>
    <xf numFmtId="38" fontId="44" fillId="4" borderId="136" xfId="4" applyFont="1" applyFill="1" applyBorder="1" applyAlignment="1" applyProtection="1">
      <alignment horizontal="center" vertical="center" shrinkToFit="1"/>
      <protection locked="0"/>
    </xf>
    <xf numFmtId="0" fontId="44" fillId="6" borderId="218" xfId="0" applyFont="1" applyFill="1" applyBorder="1" applyAlignment="1" applyProtection="1">
      <alignment horizontal="center" vertical="center" wrapText="1" shrinkToFit="1"/>
      <protection locked="0"/>
    </xf>
    <xf numFmtId="0" fontId="44" fillId="6" borderId="132" xfId="0" applyFont="1" applyFill="1" applyBorder="1" applyAlignment="1" applyProtection="1">
      <alignment horizontal="center" vertical="center" wrapText="1" shrinkToFit="1"/>
      <protection locked="0"/>
    </xf>
    <xf numFmtId="0" fontId="44" fillId="6" borderId="88" xfId="0" applyFont="1" applyFill="1" applyBorder="1" applyAlignment="1" applyProtection="1">
      <alignment horizontal="center" vertical="center" shrinkToFit="1"/>
      <protection locked="0"/>
    </xf>
    <xf numFmtId="0" fontId="44" fillId="6" borderId="89" xfId="0" applyFont="1" applyFill="1" applyBorder="1" applyAlignment="1" applyProtection="1">
      <alignment horizontal="center" vertical="center" shrinkToFit="1"/>
      <protection locked="0"/>
    </xf>
    <xf numFmtId="0" fontId="10" fillId="4" borderId="85" xfId="0" applyFont="1" applyFill="1" applyBorder="1" applyAlignment="1" applyProtection="1">
      <alignment horizontal="center" vertical="center"/>
      <protection locked="0"/>
    </xf>
    <xf numFmtId="0" fontId="10" fillId="4" borderId="86" xfId="0" applyFont="1" applyFill="1" applyBorder="1" applyAlignment="1" applyProtection="1">
      <alignment horizontal="center" vertical="center"/>
      <protection locked="0"/>
    </xf>
    <xf numFmtId="0" fontId="44" fillId="2" borderId="104" xfId="0" applyFont="1" applyFill="1" applyBorder="1" applyAlignment="1" applyProtection="1">
      <alignment horizontal="center" vertical="center"/>
    </xf>
    <xf numFmtId="0" fontId="44" fillId="2" borderId="21" xfId="0" applyFont="1" applyFill="1" applyBorder="1" applyAlignment="1" applyProtection="1">
      <alignment horizontal="center" vertical="center"/>
    </xf>
    <xf numFmtId="0" fontId="44" fillId="2" borderId="0" xfId="0" applyFont="1" applyFill="1" applyBorder="1" applyAlignment="1" applyProtection="1">
      <alignment horizontal="center" vertical="center"/>
    </xf>
    <xf numFmtId="0" fontId="44" fillId="2" borderId="15" xfId="0" applyFont="1" applyFill="1" applyBorder="1" applyAlignment="1" applyProtection="1">
      <alignment horizontal="center" vertical="center"/>
    </xf>
    <xf numFmtId="0" fontId="44" fillId="2" borderId="104" xfId="0" applyFont="1" applyFill="1" applyBorder="1" applyAlignment="1" applyProtection="1">
      <alignment horizontal="center" vertical="center" wrapText="1" shrinkToFit="1"/>
    </xf>
    <xf numFmtId="0" fontId="44" fillId="2" borderId="103" xfId="0" applyFont="1" applyFill="1" applyBorder="1" applyAlignment="1" applyProtection="1">
      <alignment horizontal="center" vertical="center" wrapText="1" shrinkToFit="1"/>
    </xf>
    <xf numFmtId="0" fontId="44" fillId="2" borderId="105" xfId="0" applyFont="1" applyFill="1" applyBorder="1" applyAlignment="1" applyProtection="1">
      <alignment horizontal="center" vertical="center" wrapText="1" shrinkToFit="1"/>
    </xf>
    <xf numFmtId="38" fontId="44" fillId="2" borderId="103" xfId="0" applyNumberFormat="1" applyFont="1" applyFill="1" applyBorder="1" applyAlignment="1" applyProtection="1">
      <alignment horizontal="center" vertical="center" shrinkToFit="1"/>
    </xf>
    <xf numFmtId="38" fontId="44" fillId="2" borderId="104" xfId="0" applyNumberFormat="1" applyFont="1" applyFill="1" applyBorder="1" applyAlignment="1" applyProtection="1">
      <alignment horizontal="center" vertical="center" shrinkToFit="1"/>
    </xf>
    <xf numFmtId="0" fontId="44" fillId="6" borderId="124" xfId="0" applyFont="1" applyFill="1" applyBorder="1" applyAlignment="1" applyProtection="1">
      <alignment horizontal="center" vertical="center"/>
      <protection locked="0"/>
    </xf>
    <xf numFmtId="0" fontId="70" fillId="2" borderId="0" xfId="0" applyFont="1" applyFill="1" applyAlignment="1" applyProtection="1">
      <alignment horizontal="left" vertical="center"/>
    </xf>
    <xf numFmtId="0" fontId="28" fillId="7" borderId="0" xfId="0" applyFont="1" applyFill="1" applyBorder="1" applyAlignment="1" applyProtection="1">
      <alignment horizontal="center" vertical="center" shrinkToFit="1"/>
    </xf>
    <xf numFmtId="0" fontId="44" fillId="3" borderId="5" xfId="0" applyFont="1" applyFill="1" applyBorder="1" applyAlignment="1" applyProtection="1">
      <alignment horizontal="center" vertical="center"/>
    </xf>
    <xf numFmtId="0" fontId="45" fillId="2" borderId="0" xfId="0" applyFont="1" applyFill="1" applyBorder="1" applyAlignment="1" applyProtection="1">
      <alignment horizontal="left" vertical="center"/>
    </xf>
    <xf numFmtId="0" fontId="44" fillId="2" borderId="99" xfId="0" applyFont="1" applyFill="1" applyBorder="1" applyAlignment="1" applyProtection="1">
      <alignment horizontal="center" vertical="center" wrapText="1" shrinkToFit="1"/>
    </xf>
    <xf numFmtId="0" fontId="44" fillId="2" borderId="100" xfId="0" applyFont="1" applyFill="1" applyBorder="1" applyAlignment="1" applyProtection="1">
      <alignment horizontal="center" vertical="center" wrapText="1" shrinkToFit="1"/>
    </xf>
    <xf numFmtId="0" fontId="44" fillId="6" borderId="164" xfId="0" applyFont="1" applyFill="1" applyBorder="1" applyAlignment="1" applyProtection="1">
      <alignment horizontal="center" vertical="center"/>
      <protection locked="0"/>
    </xf>
    <xf numFmtId="0" fontId="44" fillId="3" borderId="11" xfId="0" applyFont="1" applyFill="1" applyBorder="1" applyAlignment="1" applyProtection="1">
      <alignment horizontal="center" vertical="center"/>
    </xf>
    <xf numFmtId="0" fontId="44" fillId="3" borderId="35" xfId="0" applyFont="1" applyFill="1" applyBorder="1" applyAlignment="1" applyProtection="1">
      <alignment horizontal="center" vertical="center"/>
    </xf>
    <xf numFmtId="0" fontId="44" fillId="3" borderId="30" xfId="0" applyFont="1" applyFill="1" applyBorder="1" applyAlignment="1" applyProtection="1">
      <alignment horizontal="center" vertical="center"/>
    </xf>
    <xf numFmtId="0" fontId="44" fillId="3" borderId="55" xfId="0" applyFont="1" applyFill="1" applyBorder="1" applyAlignment="1" applyProtection="1">
      <alignment horizontal="center" vertical="center"/>
    </xf>
    <xf numFmtId="0" fontId="44" fillId="3" borderId="39" xfId="0" applyFont="1" applyFill="1" applyBorder="1" applyAlignment="1" applyProtection="1">
      <alignment horizontal="center" vertical="center"/>
    </xf>
    <xf numFmtId="0" fontId="44" fillId="2" borderId="211" xfId="0" applyFont="1" applyFill="1" applyBorder="1" applyAlignment="1" applyProtection="1">
      <alignment horizontal="center" vertical="center"/>
    </xf>
    <xf numFmtId="0" fontId="44" fillId="2" borderId="213" xfId="0" applyFont="1" applyFill="1" applyBorder="1" applyAlignment="1" applyProtection="1">
      <alignment horizontal="center" vertical="center"/>
    </xf>
    <xf numFmtId="0" fontId="44" fillId="2" borderId="129" xfId="0" applyFont="1" applyFill="1" applyBorder="1" applyAlignment="1" applyProtection="1">
      <alignment horizontal="center" vertical="center"/>
    </xf>
    <xf numFmtId="0" fontId="44" fillId="2" borderId="122" xfId="0" applyFont="1" applyFill="1" applyBorder="1" applyAlignment="1" applyProtection="1">
      <alignment horizontal="center" vertical="center"/>
    </xf>
    <xf numFmtId="0" fontId="44" fillId="2" borderId="20" xfId="0" applyFont="1" applyFill="1" applyBorder="1" applyAlignment="1" applyProtection="1">
      <alignment horizontal="center" vertical="center"/>
    </xf>
    <xf numFmtId="0" fontId="44" fillId="0" borderId="211" xfId="0" applyFont="1" applyBorder="1" applyAlignment="1" applyProtection="1">
      <alignment horizontal="center" vertical="center"/>
    </xf>
    <xf numFmtId="0" fontId="44" fillId="0" borderId="213" xfId="0" applyFont="1" applyBorder="1" applyAlignment="1" applyProtection="1">
      <alignment horizontal="center" vertical="center"/>
    </xf>
    <xf numFmtId="0" fontId="44" fillId="2" borderId="132" xfId="0" applyFont="1" applyFill="1" applyBorder="1" applyAlignment="1" applyProtection="1">
      <alignment horizontal="center" vertical="center" shrinkToFit="1"/>
    </xf>
    <xf numFmtId="0" fontId="44" fillId="6" borderId="214" xfId="0" applyFont="1" applyFill="1" applyBorder="1" applyAlignment="1" applyProtection="1">
      <alignment horizontal="center" vertical="center" shrinkToFit="1"/>
      <protection locked="0"/>
    </xf>
    <xf numFmtId="0" fontId="44" fillId="2" borderId="136" xfId="0" applyFont="1" applyFill="1" applyBorder="1" applyAlignment="1" applyProtection="1">
      <alignment horizontal="center" vertical="center" shrinkToFit="1"/>
    </xf>
    <xf numFmtId="0" fontId="44" fillId="2" borderId="137" xfId="0" applyFont="1" applyFill="1" applyBorder="1" applyAlignment="1" applyProtection="1">
      <alignment horizontal="center" vertical="center" shrinkToFit="1"/>
    </xf>
    <xf numFmtId="0" fontId="44" fillId="2" borderId="99" xfId="0" applyFont="1" applyFill="1" applyBorder="1" applyAlignment="1" applyProtection="1">
      <alignment horizontal="center" vertical="center" shrinkToFit="1"/>
    </xf>
    <xf numFmtId="0" fontId="44" fillId="2" borderId="100" xfId="0" applyFont="1" applyFill="1" applyBorder="1" applyAlignment="1" applyProtection="1">
      <alignment horizontal="center" vertical="center" shrinkToFit="1"/>
    </xf>
    <xf numFmtId="0" fontId="44" fillId="2" borderId="410" xfId="0" applyFont="1" applyFill="1" applyBorder="1" applyAlignment="1" applyProtection="1">
      <alignment horizontal="center" vertical="center" shrinkToFit="1"/>
    </xf>
    <xf numFmtId="0" fontId="44" fillId="2" borderId="10" xfId="0" applyFont="1" applyFill="1" applyBorder="1" applyAlignment="1" applyProtection="1">
      <alignment horizontal="center" vertical="center" shrinkToFit="1"/>
    </xf>
    <xf numFmtId="0" fontId="44" fillId="2" borderId="13" xfId="0" applyFont="1" applyFill="1" applyBorder="1" applyAlignment="1" applyProtection="1">
      <alignment horizontal="center" vertical="center" shrinkToFit="1"/>
    </xf>
    <xf numFmtId="0" fontId="44" fillId="2" borderId="121" xfId="0" applyFont="1" applyFill="1" applyBorder="1" applyAlignment="1" applyProtection="1">
      <alignment horizontal="center" vertical="center"/>
    </xf>
    <xf numFmtId="0" fontId="44" fillId="2" borderId="164" xfId="0" applyFont="1" applyFill="1" applyBorder="1" applyAlignment="1" applyProtection="1">
      <alignment horizontal="left" vertical="center"/>
    </xf>
    <xf numFmtId="0" fontId="44" fillId="2" borderId="124" xfId="0" applyFont="1" applyFill="1" applyBorder="1" applyAlignment="1" applyProtection="1">
      <alignment horizontal="left" vertical="center" wrapText="1"/>
    </xf>
    <xf numFmtId="0" fontId="44" fillId="0" borderId="104" xfId="0" applyFont="1" applyBorder="1" applyAlignment="1" applyProtection="1">
      <alignment horizontal="center" vertical="center"/>
    </xf>
    <xf numFmtId="0" fontId="44" fillId="0" borderId="105" xfId="0" applyFont="1" applyBorder="1" applyAlignment="1" applyProtection="1">
      <alignment horizontal="center" vertical="center"/>
    </xf>
    <xf numFmtId="0" fontId="44" fillId="0" borderId="21" xfId="0" applyFont="1" applyBorder="1" applyAlignment="1" applyProtection="1">
      <alignment horizontal="center" vertical="center"/>
    </xf>
    <xf numFmtId="0" fontId="44" fillId="0" borderId="15" xfId="0" applyFont="1" applyBorder="1" applyAlignment="1" applyProtection="1">
      <alignment horizontal="center" vertical="center"/>
    </xf>
    <xf numFmtId="0" fontId="44" fillId="0" borderId="129" xfId="0" applyFont="1" applyBorder="1" applyAlignment="1" applyProtection="1">
      <alignment horizontal="center" vertical="center"/>
    </xf>
    <xf numFmtId="0" fontId="44" fillId="0" borderId="122" xfId="0" applyFont="1" applyBorder="1" applyAlignment="1" applyProtection="1">
      <alignment horizontal="center" vertical="center"/>
    </xf>
    <xf numFmtId="0" fontId="10" fillId="2" borderId="64" xfId="0" applyFont="1" applyFill="1" applyBorder="1" applyAlignment="1" applyProtection="1">
      <alignment horizontal="center" vertical="center" shrinkToFit="1"/>
    </xf>
    <xf numFmtId="0" fontId="10" fillId="2" borderId="67" xfId="0" applyFont="1" applyFill="1" applyBorder="1" applyAlignment="1" applyProtection="1">
      <alignment horizontal="center" vertical="center" shrinkToFit="1"/>
    </xf>
    <xf numFmtId="0" fontId="10" fillId="2" borderId="13" xfId="0" applyFont="1" applyFill="1" applyBorder="1" applyAlignment="1" applyProtection="1">
      <alignment horizontal="center" vertical="center" shrinkToFit="1"/>
    </xf>
    <xf numFmtId="209" fontId="10" fillId="2" borderId="32" xfId="0" applyNumberFormat="1" applyFont="1" applyFill="1" applyBorder="1" applyAlignment="1" applyProtection="1">
      <alignment horizontal="center" vertical="center" shrinkToFit="1"/>
    </xf>
    <xf numFmtId="209" fontId="10" fillId="2" borderId="63" xfId="0" applyNumberFormat="1" applyFont="1" applyFill="1" applyBorder="1" applyAlignment="1" applyProtection="1">
      <alignment horizontal="center" vertical="center" shrinkToFit="1"/>
    </xf>
    <xf numFmtId="209" fontId="10" fillId="2" borderId="66" xfId="0" applyNumberFormat="1" applyFont="1" applyFill="1" applyBorder="1" applyAlignment="1" applyProtection="1">
      <alignment horizontal="center" vertical="center" shrinkToFit="1"/>
    </xf>
    <xf numFmtId="209" fontId="10" fillId="2" borderId="10" xfId="0" applyNumberFormat="1" applyFont="1" applyFill="1" applyBorder="1" applyAlignment="1" applyProtection="1">
      <alignment horizontal="center" vertical="center" shrinkToFit="1"/>
    </xf>
    <xf numFmtId="49" fontId="10" fillId="2" borderId="88" xfId="0" applyNumberFormat="1" applyFont="1" applyFill="1" applyBorder="1" applyAlignment="1" applyProtection="1">
      <alignment horizontal="center" vertical="center"/>
    </xf>
    <xf numFmtId="49" fontId="10" fillId="2" borderId="89" xfId="0" applyNumberFormat="1" applyFont="1" applyFill="1" applyBorder="1" applyAlignment="1" applyProtection="1">
      <alignment horizontal="center" vertical="center"/>
    </xf>
    <xf numFmtId="49" fontId="10" fillId="2" borderId="90" xfId="0" applyNumberFormat="1" applyFont="1" applyFill="1" applyBorder="1" applyAlignment="1" applyProtection="1">
      <alignment horizontal="center" vertical="center"/>
    </xf>
    <xf numFmtId="0" fontId="10" fillId="4" borderId="88" xfId="0" applyFont="1" applyFill="1" applyBorder="1" applyAlignment="1" applyProtection="1">
      <alignment horizontal="center" vertical="center"/>
      <protection locked="0"/>
    </xf>
    <xf numFmtId="0" fontId="10" fillId="4" borderId="89" xfId="0" applyFont="1" applyFill="1" applyBorder="1" applyAlignment="1" applyProtection="1">
      <alignment horizontal="center" vertical="center"/>
      <protection locked="0"/>
    </xf>
    <xf numFmtId="0" fontId="44" fillId="6" borderId="157" xfId="0" applyFont="1" applyFill="1" applyBorder="1" applyAlignment="1" applyProtection="1">
      <alignment horizontal="center" vertical="center" shrinkToFit="1"/>
      <protection locked="0"/>
    </xf>
    <xf numFmtId="0" fontId="44" fillId="6" borderId="485" xfId="0" applyFont="1" applyFill="1" applyBorder="1" applyAlignment="1" applyProtection="1">
      <alignment horizontal="center" vertical="center" shrinkToFit="1"/>
      <protection locked="0"/>
    </xf>
    <xf numFmtId="0" fontId="10" fillId="4" borderId="492" xfId="0" applyFont="1" applyFill="1" applyBorder="1" applyAlignment="1" applyProtection="1">
      <alignment horizontal="center" vertical="center"/>
      <protection locked="0"/>
    </xf>
    <xf numFmtId="0" fontId="10" fillId="4" borderId="63" xfId="0" applyFont="1" applyFill="1" applyBorder="1" applyAlignment="1" applyProtection="1">
      <alignment horizontal="center" vertical="center"/>
      <protection locked="0"/>
    </xf>
    <xf numFmtId="0" fontId="10" fillId="2" borderId="59" xfId="0" applyFont="1" applyFill="1" applyBorder="1" applyAlignment="1" applyProtection="1">
      <alignment horizontal="center" vertical="center"/>
    </xf>
    <xf numFmtId="0" fontId="10" fillId="2" borderId="60" xfId="0" applyFont="1" applyFill="1" applyBorder="1" applyAlignment="1" applyProtection="1">
      <alignment horizontal="center" vertical="center"/>
    </xf>
    <xf numFmtId="0" fontId="10" fillId="2" borderId="61" xfId="0" applyFont="1" applyFill="1" applyBorder="1" applyAlignment="1" applyProtection="1">
      <alignment horizontal="center" vertical="center"/>
    </xf>
    <xf numFmtId="0" fontId="44" fillId="2" borderId="499" xfId="0" applyFont="1" applyFill="1" applyBorder="1" applyAlignment="1" applyProtection="1">
      <alignment horizontal="center" vertical="center"/>
    </xf>
    <xf numFmtId="0" fontId="44" fillId="2" borderId="131" xfId="0" applyFont="1" applyFill="1" applyBorder="1" applyAlignment="1" applyProtection="1">
      <alignment horizontal="center" vertical="center"/>
    </xf>
    <xf numFmtId="0" fontId="10" fillId="2" borderId="85" xfId="0" applyFont="1" applyFill="1" applyBorder="1" applyAlignment="1" applyProtection="1">
      <alignment horizontal="center" vertical="center"/>
    </xf>
    <xf numFmtId="0" fontId="10" fillId="2" borderId="86" xfId="0" applyFont="1" applyFill="1" applyBorder="1" applyAlignment="1" applyProtection="1">
      <alignment horizontal="center" vertical="center"/>
    </xf>
    <xf numFmtId="0" fontId="10" fillId="2" borderId="87" xfId="0" applyFont="1" applyFill="1" applyBorder="1" applyAlignment="1" applyProtection="1">
      <alignment horizontal="center" vertical="center"/>
    </xf>
    <xf numFmtId="0" fontId="10" fillId="2" borderId="88" xfId="0" applyFont="1" applyFill="1" applyBorder="1" applyAlignment="1" applyProtection="1">
      <alignment horizontal="center" vertical="center"/>
    </xf>
    <xf numFmtId="0" fontId="10" fillId="2" borderId="90" xfId="0" applyFont="1" applyFill="1" applyBorder="1" applyAlignment="1" applyProtection="1">
      <alignment horizontal="center" vertical="center"/>
    </xf>
    <xf numFmtId="0" fontId="44" fillId="2" borderId="155" xfId="0" applyFont="1" applyFill="1" applyBorder="1" applyAlignment="1" applyProtection="1">
      <alignment horizontal="center" vertical="center" shrinkToFit="1"/>
    </xf>
    <xf numFmtId="0" fontId="44" fillId="2" borderId="154" xfId="0" applyFont="1" applyFill="1" applyBorder="1" applyAlignment="1" applyProtection="1">
      <alignment horizontal="center" vertical="center" shrinkToFit="1"/>
    </xf>
    <xf numFmtId="0" fontId="44" fillId="2" borderId="132" xfId="0" applyFont="1" applyFill="1" applyBorder="1" applyAlignment="1" applyProtection="1">
      <alignment horizontal="center" vertical="center"/>
    </xf>
    <xf numFmtId="0" fontId="44" fillId="2" borderId="154" xfId="0" applyFont="1" applyFill="1" applyBorder="1" applyAlignment="1" applyProtection="1">
      <alignment horizontal="center" vertical="center"/>
    </xf>
    <xf numFmtId="0" fontId="44" fillId="2" borderId="63" xfId="0" applyFont="1" applyFill="1" applyBorder="1" applyAlignment="1" applyProtection="1">
      <alignment horizontal="center" vertical="center" shrinkToFit="1"/>
    </xf>
    <xf numFmtId="0" fontId="44" fillId="2" borderId="64" xfId="0" applyFont="1" applyFill="1" applyBorder="1" applyAlignment="1" applyProtection="1">
      <alignment horizontal="center" vertical="center" shrinkToFit="1"/>
    </xf>
    <xf numFmtId="0" fontId="44" fillId="0" borderId="162" xfId="0" applyFont="1" applyBorder="1" applyAlignment="1" applyProtection="1">
      <alignment horizontal="center" vertical="center"/>
    </xf>
    <xf numFmtId="0" fontId="44" fillId="3" borderId="28" xfId="0" applyFont="1" applyFill="1" applyBorder="1" applyAlignment="1" applyProtection="1">
      <alignment horizontal="center" vertical="center"/>
    </xf>
    <xf numFmtId="0" fontId="44" fillId="2" borderId="133" xfId="0" applyFont="1" applyFill="1" applyBorder="1" applyAlignment="1" applyProtection="1">
      <alignment horizontal="center" vertical="center" shrinkToFit="1"/>
    </xf>
    <xf numFmtId="0" fontId="44" fillId="2" borderId="435" xfId="0" applyFont="1" applyFill="1" applyBorder="1" applyAlignment="1" applyProtection="1">
      <alignment horizontal="center" vertical="center" shrinkToFit="1"/>
    </xf>
    <xf numFmtId="0" fontId="44" fillId="2" borderId="89" xfId="0" applyFont="1" applyFill="1" applyBorder="1" applyAlignment="1" applyProtection="1">
      <alignment horizontal="center" vertical="center" shrinkToFit="1"/>
    </xf>
    <xf numFmtId="0" fontId="44" fillId="2" borderId="90" xfId="0" applyFont="1" applyFill="1" applyBorder="1" applyAlignment="1" applyProtection="1">
      <alignment horizontal="center" vertical="center" shrinkToFit="1"/>
    </xf>
    <xf numFmtId="0" fontId="10" fillId="2" borderId="82" xfId="0" applyFont="1" applyFill="1" applyBorder="1" applyAlignment="1" applyProtection="1">
      <alignment horizontal="center" vertical="center"/>
    </xf>
    <xf numFmtId="0" fontId="10" fillId="2" borderId="84" xfId="0" applyFont="1" applyFill="1" applyBorder="1" applyAlignment="1" applyProtection="1">
      <alignment horizontal="center" vertical="center"/>
    </xf>
    <xf numFmtId="0" fontId="10" fillId="2" borderId="19" xfId="0" applyFont="1" applyFill="1" applyBorder="1" applyAlignment="1" applyProtection="1">
      <alignment horizontal="center" vertical="center" wrapText="1" shrinkToFit="1"/>
    </xf>
    <xf numFmtId="0" fontId="10" fillId="2" borderId="32" xfId="0" applyFont="1" applyFill="1" applyBorder="1" applyAlignment="1" applyProtection="1">
      <alignment horizontal="center" vertical="center" wrapText="1" shrinkToFit="1"/>
    </xf>
    <xf numFmtId="0" fontId="10" fillId="2" borderId="16" xfId="0" applyFont="1" applyFill="1" applyBorder="1" applyAlignment="1" applyProtection="1">
      <alignment horizontal="center" vertical="center" wrapText="1" shrinkToFit="1"/>
    </xf>
    <xf numFmtId="0" fontId="10" fillId="2" borderId="21" xfId="0" applyFont="1" applyFill="1" applyBorder="1" applyAlignment="1" applyProtection="1">
      <alignment horizontal="center" vertical="center" wrapText="1" shrinkToFit="1"/>
    </xf>
    <xf numFmtId="0" fontId="10" fillId="2" borderId="0" xfId="0" applyFont="1" applyFill="1" applyBorder="1" applyAlignment="1" applyProtection="1">
      <alignment horizontal="center" vertical="center" wrapText="1" shrinkToFit="1"/>
    </xf>
    <xf numFmtId="0" fontId="10" fillId="2" borderId="15" xfId="0" applyFont="1" applyFill="1" applyBorder="1" applyAlignment="1" applyProtection="1">
      <alignment horizontal="center" vertical="center" wrapText="1" shrinkToFit="1"/>
    </xf>
    <xf numFmtId="0" fontId="10" fillId="2" borderId="20" xfId="0" applyFont="1" applyFill="1" applyBorder="1" applyAlignment="1" applyProtection="1">
      <alignment horizontal="center" vertical="center" wrapText="1" shrinkToFit="1"/>
    </xf>
    <xf numFmtId="0" fontId="10" fillId="2" borderId="13" xfId="0" applyFont="1" applyFill="1" applyBorder="1" applyAlignment="1" applyProtection="1">
      <alignment horizontal="center" vertical="center" wrapText="1" shrinkToFit="1"/>
    </xf>
    <xf numFmtId="0" fontId="44" fillId="2" borderId="104" xfId="0" applyFont="1" applyFill="1" applyBorder="1" applyAlignment="1" applyProtection="1">
      <alignment horizontal="left" vertical="center" wrapText="1"/>
    </xf>
    <xf numFmtId="0" fontId="44" fillId="2" borderId="103" xfId="0" applyFont="1" applyFill="1" applyBorder="1" applyAlignment="1" applyProtection="1">
      <alignment horizontal="left" vertical="center" wrapText="1"/>
    </xf>
    <xf numFmtId="0" fontId="44" fillId="2" borderId="105" xfId="0" applyFont="1" applyFill="1" applyBorder="1" applyAlignment="1" applyProtection="1">
      <alignment horizontal="left" vertical="center" wrapText="1"/>
    </xf>
    <xf numFmtId="0" fontId="58" fillId="2" borderId="0" xfId="0" applyFont="1" applyFill="1" applyBorder="1" applyAlignment="1" applyProtection="1">
      <alignment horizontal="left" vertical="center"/>
    </xf>
    <xf numFmtId="0" fontId="57" fillId="2" borderId="0" xfId="0" applyFont="1" applyFill="1" applyAlignment="1" applyProtection="1">
      <alignment horizontal="center" vertical="center"/>
    </xf>
    <xf numFmtId="0" fontId="56" fillId="7" borderId="0" xfId="0" applyFont="1" applyFill="1" applyBorder="1" applyAlignment="1" applyProtection="1">
      <alignment horizontal="center" vertical="center" shrinkToFit="1"/>
    </xf>
    <xf numFmtId="179" fontId="56" fillId="2" borderId="0" xfId="0" applyNumberFormat="1" applyFont="1" applyFill="1" applyBorder="1" applyAlignment="1" applyProtection="1">
      <alignment horizontal="center" vertical="center" shrinkToFit="1"/>
    </xf>
    <xf numFmtId="0" fontId="55" fillId="2" borderId="0" xfId="0" applyFont="1" applyFill="1" applyAlignment="1" applyProtection="1">
      <alignment horizontal="center" vertical="center"/>
    </xf>
    <xf numFmtId="0" fontId="55" fillId="5" borderId="0" xfId="0" applyFont="1" applyFill="1" applyAlignment="1" applyProtection="1">
      <alignment horizontal="left" vertical="center" shrinkToFit="1"/>
      <protection locked="0"/>
    </xf>
    <xf numFmtId="0" fontId="55" fillId="2" borderId="0" xfId="0" applyFont="1" applyFill="1" applyAlignment="1" applyProtection="1">
      <alignment horizontal="left" vertical="center" wrapText="1"/>
    </xf>
    <xf numFmtId="0" fontId="55" fillId="2" borderId="0" xfId="0" applyFont="1" applyFill="1" applyAlignment="1" applyProtection="1">
      <alignment horizontal="center" vertical="center" wrapText="1"/>
    </xf>
    <xf numFmtId="0" fontId="55" fillId="2" borderId="0" xfId="0" applyFont="1" applyFill="1" applyAlignment="1" applyProtection="1">
      <alignment horizontal="left" vertical="center"/>
    </xf>
    <xf numFmtId="0" fontId="55" fillId="2" borderId="0" xfId="0" applyFont="1" applyFill="1" applyAlignment="1" applyProtection="1">
      <alignment horizontal="left" vertical="center" shrinkToFit="1"/>
    </xf>
    <xf numFmtId="0" fontId="55" fillId="2" borderId="322" xfId="0" applyFont="1" applyFill="1" applyBorder="1" applyAlignment="1" applyProtection="1">
      <alignment horizontal="center" vertical="center"/>
    </xf>
    <xf numFmtId="0" fontId="55" fillId="2" borderId="217" xfId="0" applyFont="1" applyFill="1" applyBorder="1" applyAlignment="1" applyProtection="1">
      <alignment horizontal="center" vertical="center"/>
    </xf>
    <xf numFmtId="0" fontId="55" fillId="6" borderId="0" xfId="0" applyFont="1" applyFill="1" applyAlignment="1" applyProtection="1">
      <alignment horizontal="center" vertical="center"/>
      <protection locked="0"/>
    </xf>
    <xf numFmtId="0" fontId="55" fillId="5" borderId="0" xfId="0" applyFont="1" applyFill="1" applyAlignment="1" applyProtection="1">
      <alignment horizontal="center" vertical="center"/>
      <protection locked="0"/>
    </xf>
    <xf numFmtId="0" fontId="55" fillId="4" borderId="0" xfId="0" applyFont="1" applyFill="1" applyAlignment="1" applyProtection="1">
      <alignment horizontal="center" vertical="center"/>
      <protection locked="0"/>
    </xf>
    <xf numFmtId="0" fontId="55" fillId="2" borderId="4" xfId="0" applyFont="1" applyFill="1" applyBorder="1" applyAlignment="1" applyProtection="1">
      <alignment horizontal="center" vertical="center"/>
    </xf>
    <xf numFmtId="0" fontId="44" fillId="0" borderId="4" xfId="0" applyFont="1" applyBorder="1" applyAlignment="1" applyProtection="1">
      <alignment horizontal="center" vertical="center"/>
    </xf>
    <xf numFmtId="179" fontId="55" fillId="2" borderId="0" xfId="0" applyNumberFormat="1" applyFont="1" applyFill="1" applyAlignment="1" applyProtection="1">
      <alignment horizontal="center" vertical="center"/>
    </xf>
    <xf numFmtId="0" fontId="59" fillId="2" borderId="32" xfId="0" applyFont="1" applyFill="1" applyBorder="1" applyAlignment="1" applyProtection="1">
      <alignment horizontal="left" vertical="center"/>
    </xf>
    <xf numFmtId="0" fontId="59" fillId="2" borderId="0" xfId="0" applyFont="1" applyFill="1" applyBorder="1" applyAlignment="1" applyProtection="1">
      <alignment horizontal="left" vertical="center"/>
    </xf>
    <xf numFmtId="0" fontId="44" fillId="2" borderId="11" xfId="0" applyFont="1" applyFill="1" applyBorder="1" applyAlignment="1" applyProtection="1">
      <alignment horizontal="center" vertical="center" wrapText="1" shrinkToFit="1"/>
    </xf>
    <xf numFmtId="0" fontId="44" fillId="2" borderId="30" xfId="0" applyFont="1" applyFill="1" applyBorder="1" applyAlignment="1" applyProtection="1">
      <alignment horizontal="center" vertical="center" wrapText="1" shrinkToFit="1"/>
    </xf>
    <xf numFmtId="0" fontId="44" fillId="2" borderId="37" xfId="0" applyFont="1" applyFill="1" applyBorder="1" applyAlignment="1" applyProtection="1">
      <alignment horizontal="center" vertical="center" wrapText="1" shrinkToFit="1"/>
    </xf>
    <xf numFmtId="0" fontId="44" fillId="2" borderId="39" xfId="0" applyFont="1" applyFill="1" applyBorder="1" applyAlignment="1" applyProtection="1">
      <alignment horizontal="center" vertical="center" wrapText="1" shrinkToFit="1"/>
    </xf>
    <xf numFmtId="9" fontId="55" fillId="2" borderId="11" xfId="5" applyNumberFormat="1" applyFont="1" applyFill="1" applyBorder="1" applyAlignment="1" applyProtection="1">
      <alignment horizontal="center" vertical="center"/>
    </xf>
    <xf numFmtId="9" fontId="55" fillId="2" borderId="30" xfId="5" applyNumberFormat="1" applyFont="1" applyFill="1" applyBorder="1" applyAlignment="1" applyProtection="1">
      <alignment horizontal="center" vertical="center"/>
    </xf>
    <xf numFmtId="9" fontId="55" fillId="2" borderId="37" xfId="5" applyNumberFormat="1" applyFont="1" applyFill="1" applyBorder="1" applyAlignment="1" applyProtection="1">
      <alignment horizontal="center" vertical="center"/>
    </xf>
    <xf numFmtId="9" fontId="55" fillId="2" borderId="39" xfId="5" applyNumberFormat="1" applyFont="1" applyFill="1" applyBorder="1" applyAlignment="1" applyProtection="1">
      <alignment horizontal="center" vertical="center"/>
    </xf>
    <xf numFmtId="0" fontId="59" fillId="2" borderId="10" xfId="0" applyFont="1" applyFill="1" applyBorder="1" applyAlignment="1" applyProtection="1">
      <alignment horizontal="left" vertical="center"/>
    </xf>
    <xf numFmtId="0" fontId="55" fillId="2" borderId="40" xfId="0" applyFont="1" applyFill="1" applyBorder="1" applyAlignment="1" applyProtection="1">
      <alignment horizontal="center" vertical="center"/>
    </xf>
    <xf numFmtId="0" fontId="55" fillId="2" borderId="109" xfId="0" applyFont="1" applyFill="1" applyBorder="1" applyAlignment="1" applyProtection="1">
      <alignment horizontal="center" vertical="center"/>
    </xf>
    <xf numFmtId="9" fontId="55" fillId="2" borderId="56" xfId="5" applyNumberFormat="1" applyFont="1" applyFill="1" applyBorder="1" applyAlignment="1" applyProtection="1">
      <alignment horizontal="center" vertical="center"/>
    </xf>
    <xf numFmtId="9" fontId="55" fillId="2" borderId="42" xfId="5" applyNumberFormat="1" applyFont="1" applyFill="1" applyBorder="1" applyAlignment="1" applyProtection="1">
      <alignment horizontal="center" vertical="center"/>
    </xf>
    <xf numFmtId="0" fontId="55" fillId="2" borderId="10" xfId="0" applyFont="1" applyFill="1" applyBorder="1" applyAlignment="1" applyProtection="1">
      <alignment horizontal="center" vertical="center"/>
    </xf>
    <xf numFmtId="0" fontId="55" fillId="2" borderId="11" xfId="0" applyFont="1" applyFill="1" applyBorder="1" applyAlignment="1" applyProtection="1">
      <alignment horizontal="center" vertical="center" shrinkToFit="1"/>
    </xf>
    <xf numFmtId="0" fontId="55" fillId="2" borderId="35" xfId="0" applyFont="1" applyFill="1" applyBorder="1" applyAlignment="1" applyProtection="1">
      <alignment horizontal="center" vertical="center" shrinkToFit="1"/>
    </xf>
    <xf numFmtId="0" fontId="55" fillId="2" borderId="37" xfId="0" applyFont="1" applyFill="1" applyBorder="1" applyAlignment="1" applyProtection="1">
      <alignment horizontal="center" vertical="center" shrinkToFit="1"/>
    </xf>
    <xf numFmtId="0" fontId="55" fillId="2" borderId="38" xfId="0" applyFont="1" applyFill="1" applyBorder="1" applyAlignment="1" applyProtection="1">
      <alignment horizontal="center" vertical="center" shrinkToFit="1"/>
    </xf>
    <xf numFmtId="0" fontId="65" fillId="2" borderId="0" xfId="0" applyFont="1" applyFill="1" applyAlignment="1" applyProtection="1">
      <alignment horizontal="center" vertical="center"/>
    </xf>
    <xf numFmtId="0" fontId="28" fillId="0" borderId="389" xfId="0" applyFont="1" applyBorder="1" applyAlignment="1" applyProtection="1">
      <alignment horizontal="center" vertical="center" wrapText="1" shrinkToFit="1"/>
    </xf>
    <xf numFmtId="0" fontId="28" fillId="0" borderId="0" xfId="0" applyFont="1" applyBorder="1" applyAlignment="1" applyProtection="1">
      <alignment horizontal="center" vertical="center" wrapText="1" shrinkToFit="1"/>
    </xf>
    <xf numFmtId="0" fontId="28" fillId="0" borderId="38" xfId="0" applyFont="1" applyBorder="1" applyAlignment="1" applyProtection="1">
      <alignment horizontal="center" vertical="center" wrapText="1" shrinkToFit="1"/>
    </xf>
    <xf numFmtId="0" fontId="10" fillId="3" borderId="11" xfId="3" applyFont="1" applyFill="1" applyBorder="1" applyAlignment="1" applyProtection="1">
      <alignment horizontal="center" vertical="center" shrinkToFit="1"/>
    </xf>
    <xf numFmtId="0" fontId="10" fillId="3" borderId="12" xfId="3" applyFont="1" applyFill="1" applyBorder="1" applyAlignment="1" applyProtection="1">
      <alignment horizontal="center" vertical="center" shrinkToFit="1"/>
    </xf>
    <xf numFmtId="0" fontId="10" fillId="3" borderId="29" xfId="3" applyFont="1" applyFill="1" applyBorder="1" applyAlignment="1" applyProtection="1">
      <alignment horizontal="center" vertical="center" shrinkToFit="1"/>
    </xf>
    <xf numFmtId="0" fontId="10" fillId="3" borderId="35" xfId="3" applyFont="1" applyFill="1" applyBorder="1" applyAlignment="1" applyProtection="1">
      <alignment horizontal="center" vertical="center" shrinkToFit="1"/>
    </xf>
    <xf numFmtId="0" fontId="10" fillId="3" borderId="21" xfId="3" applyFont="1" applyFill="1" applyBorder="1" applyAlignment="1" applyProtection="1">
      <alignment horizontal="center" vertical="center" shrinkToFit="1"/>
    </xf>
    <xf numFmtId="0" fontId="10" fillId="3" borderId="55" xfId="3" applyFont="1" applyFill="1" applyBorder="1" applyAlignment="1" applyProtection="1">
      <alignment horizontal="center" vertical="center" shrinkToFit="1"/>
    </xf>
    <xf numFmtId="0" fontId="28" fillId="3" borderId="72" xfId="0" applyFont="1" applyFill="1" applyBorder="1" applyAlignment="1" applyProtection="1">
      <alignment horizontal="center" vertical="center" shrinkToFit="1"/>
    </xf>
    <xf numFmtId="0" fontId="28" fillId="3" borderId="50" xfId="0" applyFont="1" applyFill="1" applyBorder="1" applyAlignment="1" applyProtection="1">
      <alignment horizontal="center" vertical="center" shrinkToFit="1"/>
    </xf>
    <xf numFmtId="0" fontId="28" fillId="3" borderId="111" xfId="0" applyFont="1" applyFill="1" applyBorder="1" applyAlignment="1" applyProtection="1">
      <alignment horizontal="center" vertical="center" shrinkToFit="1"/>
    </xf>
    <xf numFmtId="0" fontId="10" fillId="3" borderId="234" xfId="3" applyFont="1" applyFill="1" applyBorder="1" applyAlignment="1" applyProtection="1">
      <alignment horizontal="center" vertical="center" shrinkToFit="1"/>
    </xf>
    <xf numFmtId="0" fontId="10" fillId="3" borderId="240" xfId="3" applyFont="1" applyFill="1" applyBorder="1" applyAlignment="1" applyProtection="1">
      <alignment horizontal="center" vertical="center" shrinkToFit="1"/>
    </xf>
    <xf numFmtId="200" fontId="10" fillId="3" borderId="235" xfId="3" applyNumberFormat="1" applyFont="1" applyFill="1" applyBorder="1" applyAlignment="1" applyProtection="1">
      <alignment horizontal="center" vertical="center" shrinkToFit="1"/>
    </xf>
    <xf numFmtId="200" fontId="10" fillId="3" borderId="241" xfId="3" applyNumberFormat="1" applyFont="1" applyFill="1" applyBorder="1" applyAlignment="1" applyProtection="1">
      <alignment horizontal="center" vertical="center" shrinkToFit="1"/>
    </xf>
    <xf numFmtId="0" fontId="10" fillId="3" borderId="236" xfId="3" applyFont="1" applyFill="1" applyBorder="1" applyAlignment="1" applyProtection="1">
      <alignment horizontal="center" vertical="center" shrinkToFit="1"/>
    </xf>
    <xf numFmtId="0" fontId="10" fillId="3" borderId="242" xfId="3" applyFont="1" applyFill="1" applyBorder="1" applyAlignment="1" applyProtection="1">
      <alignment horizontal="center" vertical="center" shrinkToFit="1"/>
    </xf>
    <xf numFmtId="0" fontId="10" fillId="3" borderId="235" xfId="3" applyFont="1" applyFill="1" applyBorder="1" applyAlignment="1" applyProtection="1">
      <alignment horizontal="center" vertical="center" shrinkToFit="1"/>
    </xf>
    <xf numFmtId="0" fontId="10" fillId="3" borderId="241" xfId="3" applyFont="1" applyFill="1" applyBorder="1" applyAlignment="1" applyProtection="1">
      <alignment horizontal="center" vertical="center" shrinkToFit="1"/>
    </xf>
    <xf numFmtId="0" fontId="39" fillId="3" borderId="236" xfId="3" applyFont="1" applyFill="1" applyBorder="1" applyAlignment="1" applyProtection="1">
      <alignment horizontal="center" vertical="center" wrapText="1" shrinkToFit="1"/>
    </xf>
    <xf numFmtId="0" fontId="39" fillId="3" borderId="242" xfId="3" applyFont="1" applyFill="1" applyBorder="1" applyAlignment="1" applyProtection="1">
      <alignment horizontal="center" vertical="center" shrinkToFit="1"/>
    </xf>
    <xf numFmtId="0" fontId="10" fillId="3" borderId="237" xfId="3" applyFont="1" applyFill="1" applyBorder="1" applyAlignment="1" applyProtection="1">
      <alignment horizontal="center" vertical="center" shrinkToFit="1"/>
    </xf>
    <xf numFmtId="0" fontId="10" fillId="3" borderId="243" xfId="3" applyFont="1" applyFill="1" applyBorder="1" applyAlignment="1" applyProtection="1">
      <alignment horizontal="center" vertical="center" shrinkToFit="1"/>
    </xf>
    <xf numFmtId="14" fontId="10" fillId="3" borderId="9" xfId="3" applyNumberFormat="1" applyFont="1" applyFill="1" applyBorder="1" applyAlignment="1" applyProtection="1">
      <alignment horizontal="center" vertical="center" shrinkToFit="1"/>
    </xf>
    <xf numFmtId="14" fontId="10" fillId="3" borderId="76" xfId="3" applyNumberFormat="1" applyFont="1" applyFill="1" applyBorder="1" applyAlignment="1" applyProtection="1">
      <alignment horizontal="center" vertical="center" shrinkToFit="1"/>
    </xf>
    <xf numFmtId="0" fontId="10" fillId="15" borderId="6" xfId="0" applyFont="1" applyFill="1" applyBorder="1" applyAlignment="1">
      <alignment horizontal="center" vertical="center"/>
    </xf>
    <xf numFmtId="0" fontId="10" fillId="15" borderId="9" xfId="0" applyFont="1" applyFill="1" applyBorder="1" applyAlignment="1">
      <alignment horizontal="center" vertical="center"/>
    </xf>
    <xf numFmtId="0" fontId="10" fillId="15" borderId="76" xfId="0" applyFont="1" applyFill="1" applyBorder="1" applyAlignment="1">
      <alignment horizontal="center" vertical="center"/>
    </xf>
    <xf numFmtId="0" fontId="28" fillId="2" borderId="4" xfId="0" applyFont="1" applyFill="1" applyBorder="1" applyAlignment="1">
      <alignment horizontal="left" vertical="center"/>
    </xf>
    <xf numFmtId="0" fontId="28" fillId="2" borderId="19" xfId="0" applyFont="1" applyFill="1" applyBorder="1" applyAlignment="1">
      <alignment horizontal="center" vertical="center"/>
    </xf>
    <xf numFmtId="0" fontId="28" fillId="2" borderId="21" xfId="0" applyFont="1" applyFill="1" applyBorder="1" applyAlignment="1">
      <alignment horizontal="center" vertical="center"/>
    </xf>
    <xf numFmtId="0" fontId="28" fillId="2" borderId="55" xfId="0" applyFont="1" applyFill="1" applyBorder="1" applyAlignment="1">
      <alignment horizontal="center" vertical="center"/>
    </xf>
    <xf numFmtId="0" fontId="28" fillId="0" borderId="23" xfId="0" applyFont="1" applyBorder="1" applyAlignment="1" applyProtection="1">
      <alignment horizontal="center" vertical="center" shrinkToFit="1"/>
    </xf>
    <xf numFmtId="0" fontId="28" fillId="0" borderId="109" xfId="0" applyFont="1" applyBorder="1" applyAlignment="1" applyProtection="1">
      <alignment horizontal="center" vertical="center" shrinkToFit="1"/>
    </xf>
    <xf numFmtId="0" fontId="28" fillId="0" borderId="24" xfId="0" applyFont="1" applyBorder="1" applyAlignment="1" applyProtection="1">
      <alignment horizontal="center" vertical="center" shrinkToFit="1"/>
    </xf>
    <xf numFmtId="0" fontId="28" fillId="0" borderId="25" xfId="0" applyFont="1" applyBorder="1" applyAlignment="1" applyProtection="1">
      <alignment horizontal="center" vertical="center" shrinkToFit="1"/>
    </xf>
    <xf numFmtId="0" fontId="28" fillId="0" borderId="51" xfId="0" applyFont="1" applyBorder="1" applyAlignment="1" applyProtection="1">
      <alignment horizontal="center" vertical="center" shrinkToFit="1"/>
    </xf>
    <xf numFmtId="0" fontId="28" fillId="0" borderId="72" xfId="0" applyFont="1" applyBorder="1" applyAlignment="1" applyProtection="1">
      <alignment horizontal="center" vertical="center" shrinkToFit="1"/>
    </xf>
    <xf numFmtId="0" fontId="28" fillId="0" borderId="109" xfId="0" applyFont="1" applyBorder="1" applyAlignment="1" applyProtection="1">
      <alignment horizontal="center" vertical="center"/>
    </xf>
    <xf numFmtId="0" fontId="28" fillId="0" borderId="24" xfId="0" applyFont="1" applyBorder="1" applyAlignment="1" applyProtection="1">
      <alignment horizontal="center" vertical="center"/>
    </xf>
    <xf numFmtId="0" fontId="28" fillId="0" borderId="25" xfId="0" applyFont="1" applyBorder="1" applyAlignment="1" applyProtection="1">
      <alignment horizontal="center" vertical="center"/>
    </xf>
    <xf numFmtId="0" fontId="28" fillId="0" borderId="36" xfId="0" applyFont="1" applyBorder="1" applyAlignment="1" applyProtection="1">
      <alignment horizontal="center" vertical="center"/>
    </xf>
    <xf numFmtId="0" fontId="28" fillId="0" borderId="0" xfId="0" applyFont="1" applyBorder="1" applyAlignment="1" applyProtection="1">
      <alignment horizontal="center" vertical="center"/>
    </xf>
    <xf numFmtId="0" fontId="39" fillId="3" borderId="235" xfId="3" applyFont="1" applyFill="1" applyBorder="1" applyAlignment="1" applyProtection="1">
      <alignment horizontal="center" vertical="center" wrapText="1" shrinkToFit="1"/>
    </xf>
    <xf numFmtId="0" fontId="39" fillId="3" borderId="241" xfId="3" applyFont="1" applyFill="1" applyBorder="1" applyAlignment="1" applyProtection="1">
      <alignment horizontal="center" vertical="center" wrapText="1" shrinkToFit="1"/>
    </xf>
    <xf numFmtId="0" fontId="10" fillId="3" borderId="236" xfId="3" applyFont="1" applyFill="1" applyBorder="1" applyAlignment="1" applyProtection="1">
      <alignment horizontal="center" vertical="center" wrapText="1" shrinkToFit="1"/>
    </xf>
    <xf numFmtId="0" fontId="10" fillId="3" borderId="211" xfId="3" applyFont="1" applyFill="1" applyBorder="1" applyAlignment="1" applyProtection="1">
      <alignment horizontal="center" vertical="center"/>
    </xf>
    <xf numFmtId="0" fontId="10" fillId="3" borderId="212" xfId="3" applyFont="1" applyFill="1" applyBorder="1" applyAlignment="1" applyProtection="1">
      <alignment horizontal="center" vertical="center"/>
    </xf>
    <xf numFmtId="0" fontId="10" fillId="3" borderId="213" xfId="3" applyFont="1" applyFill="1" applyBorder="1" applyAlignment="1" applyProtection="1">
      <alignment horizontal="center" vertical="center"/>
    </xf>
    <xf numFmtId="0" fontId="10" fillId="3" borderId="35" xfId="3" applyFont="1" applyFill="1" applyBorder="1" applyAlignment="1" applyProtection="1">
      <alignment horizontal="center" vertical="center" wrapText="1"/>
    </xf>
    <xf numFmtId="0" fontId="10" fillId="3" borderId="30" xfId="3" applyFont="1" applyFill="1" applyBorder="1" applyAlignment="1" applyProtection="1">
      <alignment horizontal="center" vertical="center" wrapText="1"/>
    </xf>
    <xf numFmtId="0" fontId="10" fillId="3" borderId="218" xfId="3" applyFont="1" applyFill="1" applyBorder="1" applyAlignment="1" applyProtection="1">
      <alignment horizontal="center" vertical="center"/>
    </xf>
    <xf numFmtId="0" fontId="10" fillId="3" borderId="132" xfId="3" applyFont="1" applyFill="1" applyBorder="1" applyAlignment="1" applyProtection="1">
      <alignment horizontal="center" vertical="center"/>
    </xf>
    <xf numFmtId="0" fontId="10" fillId="3" borderId="219" xfId="3" applyFont="1" applyFill="1" applyBorder="1" applyAlignment="1" applyProtection="1">
      <alignment horizontal="center" vertical="center"/>
    </xf>
    <xf numFmtId="0" fontId="10" fillId="3" borderId="105" xfId="3" applyFont="1" applyFill="1" applyBorder="1" applyAlignment="1" applyProtection="1">
      <alignment horizontal="center" vertical="center"/>
    </xf>
    <xf numFmtId="0" fontId="10" fillId="3" borderId="113" xfId="3" applyFont="1" applyFill="1" applyBorder="1" applyAlignment="1" applyProtection="1">
      <alignment horizontal="center" vertical="center"/>
    </xf>
    <xf numFmtId="0" fontId="10" fillId="3" borderId="426" xfId="3" applyFont="1" applyFill="1" applyBorder="1" applyAlignment="1" applyProtection="1">
      <alignment horizontal="center" vertical="center" shrinkToFit="1"/>
    </xf>
    <xf numFmtId="0" fontId="10" fillId="3" borderId="219" xfId="3" applyFont="1" applyFill="1" applyBorder="1" applyAlignment="1" applyProtection="1">
      <alignment horizontal="center" vertical="center" shrinkToFit="1"/>
    </xf>
    <xf numFmtId="0" fontId="62" fillId="3" borderId="34" xfId="3" applyFont="1" applyFill="1" applyBorder="1" applyAlignment="1" applyProtection="1">
      <alignment horizontal="center" vertical="center" wrapText="1"/>
    </xf>
    <xf numFmtId="0" fontId="62" fillId="3" borderId="39" xfId="3" applyFont="1" applyFill="1" applyBorder="1" applyAlignment="1" applyProtection="1">
      <alignment horizontal="center" vertical="center"/>
    </xf>
    <xf numFmtId="0" fontId="28" fillId="2" borderId="6" xfId="0" applyFont="1" applyFill="1" applyBorder="1" applyAlignment="1">
      <alignment horizontal="left" vertical="center"/>
    </xf>
    <xf numFmtId="0" fontId="10" fillId="2" borderId="28" xfId="0" applyFont="1" applyFill="1" applyBorder="1" applyAlignment="1">
      <alignment horizontal="left" vertical="center"/>
    </xf>
    <xf numFmtId="0" fontId="10" fillId="2" borderId="110" xfId="0" applyFont="1" applyFill="1" applyBorder="1" applyAlignment="1">
      <alignment horizontal="left" vertical="center"/>
    </xf>
    <xf numFmtId="0" fontId="10" fillId="2" borderId="54" xfId="0" applyFont="1" applyFill="1" applyBorder="1" applyAlignment="1">
      <alignment horizontal="left" vertical="center"/>
    </xf>
    <xf numFmtId="0" fontId="10" fillId="7" borderId="0" xfId="0" applyFont="1" applyFill="1" applyBorder="1" applyAlignment="1" applyProtection="1">
      <alignment horizontal="center" vertical="center" shrinkToFit="1"/>
    </xf>
    <xf numFmtId="0" fontId="38" fillId="2" borderId="0" xfId="3" applyFont="1" applyFill="1" applyAlignment="1" applyProtection="1">
      <alignment horizontal="right" vertical="center"/>
    </xf>
    <xf numFmtId="0" fontId="38" fillId="2" borderId="0" xfId="3" applyFont="1" applyFill="1" applyAlignment="1" applyProtection="1">
      <alignment horizontal="center" vertical="center"/>
    </xf>
    <xf numFmtId="0" fontId="10" fillId="3" borderId="40" xfId="3" applyFont="1" applyFill="1" applyBorder="1" applyAlignment="1" applyProtection="1">
      <alignment horizontal="center" vertical="center"/>
    </xf>
    <xf numFmtId="0" fontId="10" fillId="3" borderId="41" xfId="3" applyFont="1" applyFill="1" applyBorder="1" applyAlignment="1" applyProtection="1">
      <alignment horizontal="center" vertical="center"/>
    </xf>
    <xf numFmtId="0" fontId="10" fillId="3" borderId="42" xfId="3" applyFont="1" applyFill="1" applyBorder="1" applyAlignment="1" applyProtection="1">
      <alignment horizontal="center" vertical="center"/>
    </xf>
    <xf numFmtId="0" fontId="10" fillId="2" borderId="29" xfId="3" applyFont="1" applyFill="1" applyBorder="1" applyAlignment="1" applyProtection="1">
      <alignment horizontal="left" vertical="center" wrapText="1"/>
    </xf>
    <xf numFmtId="0" fontId="10" fillId="2" borderId="35" xfId="3" applyFont="1" applyFill="1" applyBorder="1" applyAlignment="1" applyProtection="1">
      <alignment horizontal="left" vertical="center" wrapText="1"/>
    </xf>
    <xf numFmtId="0" fontId="10" fillId="2" borderId="12" xfId="3" applyFont="1" applyFill="1" applyBorder="1" applyAlignment="1" applyProtection="1">
      <alignment horizontal="left" vertical="center" wrapText="1"/>
    </xf>
    <xf numFmtId="0" fontId="10" fillId="2" borderId="21" xfId="3" applyFont="1" applyFill="1" applyBorder="1" applyAlignment="1" applyProtection="1">
      <alignment horizontal="left" vertical="center" wrapText="1"/>
    </xf>
    <xf numFmtId="0" fontId="10" fillId="2" borderId="0" xfId="3" applyFont="1" applyFill="1" applyBorder="1" applyAlignment="1" applyProtection="1">
      <alignment horizontal="left" vertical="center" wrapText="1"/>
    </xf>
    <xf numFmtId="0" fontId="10" fillId="2" borderId="15" xfId="3" applyFont="1" applyFill="1" applyBorder="1" applyAlignment="1" applyProtection="1">
      <alignment horizontal="left" vertical="center" wrapText="1"/>
    </xf>
    <xf numFmtId="0" fontId="10" fillId="2" borderId="55" xfId="3" applyFont="1" applyFill="1" applyBorder="1" applyAlignment="1" applyProtection="1">
      <alignment horizontal="left" vertical="center" wrapText="1"/>
    </xf>
    <xf numFmtId="0" fontId="10" fillId="2" borderId="38" xfId="3" applyFont="1" applyFill="1" applyBorder="1" applyAlignment="1" applyProtection="1">
      <alignment horizontal="left" vertical="center" wrapText="1"/>
    </xf>
    <xf numFmtId="0" fontId="10" fillId="2" borderId="113" xfId="3" applyFont="1" applyFill="1" applyBorder="1" applyAlignment="1" applyProtection="1">
      <alignment horizontal="left" vertical="center" wrapText="1"/>
    </xf>
    <xf numFmtId="205" fontId="10" fillId="4" borderId="215" xfId="3" applyNumberFormat="1" applyFont="1" applyFill="1" applyBorder="1" applyAlignment="1" applyProtection="1">
      <alignment horizontal="center" vertical="center" shrinkToFit="1"/>
      <protection locked="0"/>
    </xf>
    <xf numFmtId="205" fontId="10" fillId="4" borderId="216" xfId="3" applyNumberFormat="1" applyFont="1" applyFill="1" applyBorder="1" applyAlignment="1" applyProtection="1">
      <alignment horizontal="center" vertical="center" shrinkToFit="1"/>
      <protection locked="0"/>
    </xf>
    <xf numFmtId="0" fontId="28" fillId="2" borderId="217" xfId="0" applyFont="1" applyFill="1" applyBorder="1" applyAlignment="1" applyProtection="1">
      <alignment horizontal="center" vertical="center"/>
    </xf>
    <xf numFmtId="0" fontId="28" fillId="2" borderId="76" xfId="0" applyFont="1" applyFill="1" applyBorder="1" applyAlignment="1" applyProtection="1">
      <alignment horizontal="center" vertical="center"/>
    </xf>
    <xf numFmtId="0" fontId="10" fillId="4" borderId="65" xfId="3" applyFont="1" applyFill="1" applyBorder="1" applyAlignment="1" applyProtection="1">
      <alignment horizontal="left" vertical="top" wrapText="1"/>
      <protection locked="0"/>
    </xf>
    <xf numFmtId="0" fontId="10" fillId="4" borderId="66" xfId="3" applyFont="1" applyFill="1" applyBorder="1" applyAlignment="1" applyProtection="1">
      <alignment horizontal="left" vertical="top" wrapText="1"/>
      <protection locked="0"/>
    </xf>
    <xf numFmtId="0" fontId="10" fillId="4" borderId="67" xfId="3" applyFont="1" applyFill="1" applyBorder="1" applyAlignment="1" applyProtection="1">
      <alignment horizontal="left" vertical="top" wrapText="1"/>
      <protection locked="0"/>
    </xf>
    <xf numFmtId="0" fontId="10" fillId="4" borderId="55" xfId="3" applyFont="1" applyFill="1" applyBorder="1" applyAlignment="1" applyProtection="1">
      <alignment horizontal="left" vertical="top" wrapText="1"/>
      <protection locked="0"/>
    </xf>
    <xf numFmtId="0" fontId="10" fillId="4" borderId="38" xfId="3" applyFont="1" applyFill="1" applyBorder="1" applyAlignment="1" applyProtection="1">
      <alignment horizontal="left" vertical="top" wrapText="1"/>
      <protection locked="0"/>
    </xf>
    <xf numFmtId="0" fontId="10" fillId="4" borderId="113" xfId="3" applyFont="1" applyFill="1" applyBorder="1" applyAlignment="1" applyProtection="1">
      <alignment horizontal="left" vertical="top" wrapText="1"/>
      <protection locked="0"/>
    </xf>
    <xf numFmtId="0" fontId="10" fillId="2" borderId="32" xfId="3" applyFont="1" applyFill="1" applyBorder="1" applyAlignment="1" applyProtection="1">
      <alignment horizontal="left" vertical="center" shrinkToFit="1"/>
    </xf>
    <xf numFmtId="0" fontId="10" fillId="2" borderId="0" xfId="3" applyFont="1" applyFill="1" applyBorder="1" applyAlignment="1" applyProtection="1">
      <alignment horizontal="left" vertical="center" shrinkToFit="1"/>
    </xf>
    <xf numFmtId="0" fontId="10" fillId="3" borderId="51" xfId="3" applyFont="1" applyFill="1" applyBorder="1" applyAlignment="1" applyProtection="1">
      <alignment horizontal="center" vertical="center" shrinkToFit="1"/>
    </xf>
    <xf numFmtId="0" fontId="10" fillId="3" borderId="49" xfId="3" applyFont="1" applyFill="1" applyBorder="1" applyAlignment="1" applyProtection="1">
      <alignment horizontal="center" vertical="center" shrinkToFit="1"/>
    </xf>
    <xf numFmtId="0" fontId="10" fillId="3" borderId="53" xfId="3" applyFont="1" applyFill="1" applyBorder="1" applyAlignment="1" applyProtection="1">
      <alignment horizontal="center" vertical="center" shrinkToFit="1"/>
    </xf>
    <xf numFmtId="0" fontId="31" fillId="2" borderId="188" xfId="3" applyFont="1" applyFill="1" applyBorder="1" applyAlignment="1" applyProtection="1">
      <alignment horizontal="center" vertical="center" shrinkToFit="1"/>
    </xf>
    <xf numFmtId="0" fontId="31" fillId="2" borderId="200" xfId="3" applyFont="1" applyFill="1" applyBorder="1" applyAlignment="1" applyProtection="1">
      <alignment horizontal="center" vertical="center" shrinkToFit="1"/>
    </xf>
    <xf numFmtId="0" fontId="4" fillId="2" borderId="23" xfId="3" applyFont="1" applyFill="1" applyBorder="1" applyAlignment="1" applyProtection="1">
      <alignment horizontal="center" shrinkToFit="1"/>
    </xf>
    <xf numFmtId="0" fontId="4" fillId="2" borderId="24" xfId="3" applyFont="1" applyFill="1" applyBorder="1" applyAlignment="1" applyProtection="1">
      <alignment horizontal="center" shrinkToFit="1"/>
    </xf>
    <xf numFmtId="0" fontId="31" fillId="2" borderId="175" xfId="3" applyFont="1" applyFill="1" applyBorder="1" applyAlignment="1" applyProtection="1">
      <alignment horizontal="center" vertical="center" shrinkToFit="1"/>
    </xf>
    <xf numFmtId="0" fontId="31" fillId="2" borderId="177" xfId="3" applyFont="1" applyFill="1" applyBorder="1" applyAlignment="1" applyProtection="1">
      <alignment horizontal="center" vertical="center" shrinkToFit="1"/>
    </xf>
    <xf numFmtId="197" fontId="4" fillId="2" borderId="72" xfId="3" applyNumberFormat="1" applyFont="1" applyFill="1" applyBorder="1" applyAlignment="1" applyProtection="1">
      <alignment horizontal="center" vertical="center" shrinkToFit="1"/>
    </xf>
    <xf numFmtId="197" fontId="4" fillId="2" borderId="50" xfId="3" applyNumberFormat="1" applyFont="1" applyFill="1" applyBorder="1" applyAlignment="1" applyProtection="1">
      <alignment horizontal="center" vertical="center" shrinkToFit="1"/>
    </xf>
    <xf numFmtId="0" fontId="4" fillId="2" borderId="17" xfId="3" applyFont="1" applyFill="1" applyBorder="1" applyAlignment="1" applyProtection="1">
      <alignment horizontal="center" vertical="center" shrinkToFit="1"/>
    </xf>
    <xf numFmtId="0" fontId="4" fillId="2" borderId="14" xfId="3" applyFont="1" applyFill="1" applyBorder="1" applyAlignment="1" applyProtection="1">
      <alignment horizontal="center" vertical="center" shrinkToFit="1"/>
    </xf>
    <xf numFmtId="0" fontId="4" fillId="2" borderId="28" xfId="3" applyFont="1" applyFill="1" applyBorder="1" applyAlignment="1" applyProtection="1">
      <alignment horizontal="center" vertical="center" shrinkToFit="1"/>
    </xf>
    <xf numFmtId="0" fontId="4" fillId="2" borderId="54" xfId="3" applyFont="1" applyFill="1" applyBorder="1" applyAlignment="1" applyProtection="1">
      <alignment horizontal="center" vertical="center" shrinkToFit="1"/>
    </xf>
    <xf numFmtId="0" fontId="31" fillId="2" borderId="192" xfId="3" applyFont="1" applyFill="1" applyBorder="1" applyAlignment="1" applyProtection="1">
      <alignment horizontal="center" vertical="center" shrinkToFit="1"/>
    </xf>
    <xf numFmtId="0" fontId="31" fillId="2" borderId="193" xfId="3" applyFont="1" applyFill="1" applyBorder="1" applyAlignment="1" applyProtection="1">
      <alignment horizontal="center" vertical="center" shrinkToFit="1"/>
    </xf>
    <xf numFmtId="0" fontId="4" fillId="2" borderId="6" xfId="3" applyFont="1" applyFill="1" applyBorder="1" applyAlignment="1" applyProtection="1">
      <alignment horizontal="center" vertical="center" shrinkToFit="1"/>
    </xf>
    <xf numFmtId="0" fontId="4" fillId="2" borderId="76" xfId="3" applyFont="1" applyFill="1" applyBorder="1" applyAlignment="1" applyProtection="1">
      <alignment horizontal="center" vertical="center" shrinkToFit="1"/>
    </xf>
    <xf numFmtId="0" fontId="42" fillId="2" borderId="41" xfId="3" applyFont="1" applyFill="1" applyBorder="1" applyAlignment="1" applyProtection="1">
      <alignment horizontal="center" vertical="center" shrinkToFit="1"/>
    </xf>
    <xf numFmtId="0" fontId="42" fillId="2" borderId="42" xfId="3" applyFont="1" applyFill="1" applyBorder="1" applyAlignment="1" applyProtection="1">
      <alignment horizontal="center" vertical="center" shrinkToFit="1"/>
    </xf>
    <xf numFmtId="0" fontId="4" fillId="2" borderId="40" xfId="3" applyFont="1" applyFill="1" applyBorder="1" applyAlignment="1" applyProtection="1">
      <alignment horizontal="center" shrinkToFit="1"/>
    </xf>
    <xf numFmtId="0" fontId="4" fillId="2" borderId="41" xfId="3" applyFont="1" applyFill="1" applyBorder="1" applyAlignment="1" applyProtection="1">
      <alignment horizontal="center" shrinkToFit="1"/>
    </xf>
    <xf numFmtId="0" fontId="4" fillId="2" borderId="42" xfId="3" applyFont="1" applyFill="1" applyBorder="1" applyAlignment="1" applyProtection="1">
      <alignment horizontal="center" shrinkToFit="1"/>
    </xf>
    <xf numFmtId="0" fontId="4" fillId="4" borderId="125" xfId="3" applyFont="1" applyFill="1" applyBorder="1" applyAlignment="1" applyProtection="1">
      <alignment horizontal="center" vertical="center" shrinkToFit="1"/>
      <protection locked="0"/>
    </xf>
    <xf numFmtId="0" fontId="4" fillId="4" borderId="126" xfId="3" applyFont="1" applyFill="1" applyBorder="1" applyAlignment="1" applyProtection="1">
      <alignment horizontal="center" vertical="center" shrinkToFit="1"/>
      <protection locked="0"/>
    </xf>
    <xf numFmtId="0" fontId="10" fillId="2" borderId="36" xfId="3" applyFont="1" applyFill="1" applyBorder="1" applyAlignment="1" applyProtection="1">
      <alignment horizontal="left" vertical="center" shrinkToFit="1"/>
    </xf>
    <xf numFmtId="0" fontId="10" fillId="2" borderId="37" xfId="3" applyFont="1" applyFill="1" applyBorder="1" applyAlignment="1" applyProtection="1">
      <alignment horizontal="left" vertical="center" shrinkToFit="1"/>
    </xf>
    <xf numFmtId="0" fontId="10" fillId="2" borderId="38" xfId="3" applyFont="1" applyFill="1" applyBorder="1" applyAlignment="1" applyProtection="1">
      <alignment horizontal="left" vertical="center" shrinkToFit="1"/>
    </xf>
    <xf numFmtId="0" fontId="4" fillId="2" borderId="0" xfId="3" applyFont="1" applyFill="1" applyAlignment="1" applyProtection="1">
      <alignment horizontal="center" vertical="center" shrinkToFit="1"/>
    </xf>
    <xf numFmtId="0" fontId="4" fillId="2" borderId="15" xfId="3" applyFont="1" applyFill="1" applyBorder="1" applyAlignment="1" applyProtection="1">
      <alignment horizontal="center" vertical="center" shrinkToFit="1"/>
    </xf>
    <xf numFmtId="0" fontId="4" fillId="2" borderId="38" xfId="3" applyFont="1" applyFill="1" applyBorder="1" applyAlignment="1" applyProtection="1">
      <alignment horizontal="center" vertical="center" shrinkToFit="1"/>
    </xf>
    <xf numFmtId="0" fontId="4" fillId="2" borderId="113" xfId="3" applyFont="1" applyFill="1" applyBorder="1" applyAlignment="1" applyProtection="1">
      <alignment horizontal="center" vertical="center" shrinkToFit="1"/>
    </xf>
    <xf numFmtId="0" fontId="4" fillId="2" borderId="51" xfId="3" applyFont="1" applyFill="1" applyBorder="1" applyAlignment="1" applyProtection="1">
      <alignment horizontal="center" vertical="center" shrinkToFit="1"/>
    </xf>
    <xf numFmtId="0" fontId="4" fillId="2" borderId="49" xfId="3" applyFont="1" applyFill="1" applyBorder="1" applyAlignment="1" applyProtection="1">
      <alignment horizontal="center" vertical="center" shrinkToFit="1"/>
    </xf>
    <xf numFmtId="0" fontId="4" fillId="2" borderId="1" xfId="3" applyFont="1" applyFill="1" applyBorder="1" applyAlignment="1" applyProtection="1">
      <alignment horizontal="center" vertical="center" shrinkToFit="1"/>
    </xf>
    <xf numFmtId="0" fontId="4" fillId="2" borderId="9" xfId="3" applyFont="1" applyFill="1" applyBorder="1" applyAlignment="1" applyProtection="1">
      <alignment horizontal="center" vertical="center" shrinkToFit="1"/>
    </xf>
    <xf numFmtId="0" fontId="4" fillId="2" borderId="27" xfId="3" applyFont="1" applyFill="1" applyBorder="1" applyAlignment="1" applyProtection="1">
      <alignment horizontal="center" vertical="center" shrinkToFit="1"/>
    </xf>
    <xf numFmtId="0" fontId="4" fillId="2" borderId="71" xfId="3" applyFont="1" applyFill="1" applyBorder="1" applyAlignment="1" applyProtection="1">
      <alignment horizontal="center" vertical="center" shrinkToFit="1"/>
    </xf>
    <xf numFmtId="0" fontId="42" fillId="2" borderId="38" xfId="3" applyFont="1" applyFill="1" applyBorder="1" applyAlignment="1" applyProtection="1">
      <alignment horizontal="center" vertical="center" shrinkToFit="1"/>
    </xf>
    <xf numFmtId="0" fontId="9" fillId="2" borderId="0" xfId="3" applyFont="1" applyFill="1" applyBorder="1" applyAlignment="1" applyProtection="1">
      <alignment horizontal="center" vertical="center" shrinkToFit="1"/>
    </xf>
    <xf numFmtId="0" fontId="9" fillId="2" borderId="0" xfId="3" applyFont="1" applyFill="1" applyAlignment="1" applyProtection="1">
      <alignment horizontal="left" vertical="center" shrinkToFit="1"/>
    </xf>
    <xf numFmtId="179" fontId="4" fillId="2" borderId="40" xfId="3" applyNumberFormat="1" applyFont="1" applyFill="1" applyBorder="1" applyAlignment="1" applyProtection="1">
      <alignment horizontal="center" shrinkToFit="1"/>
    </xf>
    <xf numFmtId="179" fontId="4" fillId="2" borderId="41" xfId="3" applyNumberFormat="1" applyFont="1" applyFill="1" applyBorder="1" applyAlignment="1" applyProtection="1">
      <alignment horizontal="center" shrinkToFit="1"/>
    </xf>
    <xf numFmtId="179" fontId="4" fillId="2" borderId="42" xfId="3" applyNumberFormat="1" applyFont="1" applyFill="1" applyBorder="1" applyAlignment="1" applyProtection="1">
      <alignment horizontal="center" shrinkToFit="1"/>
    </xf>
    <xf numFmtId="0" fontId="4" fillId="4" borderId="102" xfId="3" applyFont="1" applyFill="1" applyBorder="1" applyAlignment="1" applyProtection="1">
      <alignment horizontal="center" vertical="center" shrinkToFit="1"/>
      <protection locked="0"/>
    </xf>
    <xf numFmtId="0" fontId="4" fillId="4" borderId="131" xfId="3" applyFont="1" applyFill="1" applyBorder="1" applyAlignment="1" applyProtection="1">
      <alignment horizontal="center" vertical="center" shrinkToFit="1"/>
      <protection locked="0"/>
    </xf>
    <xf numFmtId="0" fontId="4" fillId="2" borderId="19" xfId="3" applyFont="1" applyFill="1" applyBorder="1" applyAlignment="1" applyProtection="1">
      <alignment horizontal="center" vertical="center" shrinkToFit="1"/>
    </xf>
    <xf numFmtId="0" fontId="4" fillId="2" borderId="16" xfId="3" applyFont="1" applyFill="1" applyBorder="1" applyAlignment="1" applyProtection="1">
      <alignment horizontal="center" vertical="center" shrinkToFit="1"/>
    </xf>
    <xf numFmtId="0" fontId="4" fillId="2" borderId="55" xfId="3" applyFont="1" applyFill="1" applyBorder="1" applyAlignment="1" applyProtection="1">
      <alignment horizontal="center" vertical="center" shrinkToFit="1"/>
    </xf>
    <xf numFmtId="0" fontId="4" fillId="7" borderId="0" xfId="3" applyFont="1" applyFill="1" applyBorder="1" applyAlignment="1" applyProtection="1">
      <alignment horizontal="center" vertical="center" shrinkToFit="1"/>
    </xf>
    <xf numFmtId="0" fontId="10" fillId="4" borderId="46" xfId="1" applyFont="1" applyFill="1" applyBorder="1" applyAlignment="1" applyProtection="1">
      <alignment horizontal="center" vertical="center" wrapText="1" shrinkToFit="1"/>
      <protection locked="0"/>
    </xf>
    <xf numFmtId="0" fontId="10" fillId="4" borderId="7" xfId="1" applyFont="1" applyFill="1" applyBorder="1" applyAlignment="1" applyProtection="1">
      <alignment horizontal="center" vertical="center" wrapText="1" shrinkToFit="1"/>
      <protection locked="0"/>
    </xf>
    <xf numFmtId="0" fontId="10" fillId="4" borderId="6" xfId="1" applyFont="1" applyFill="1" applyBorder="1" applyAlignment="1" applyProtection="1">
      <alignment horizontal="center" vertical="center" wrapText="1"/>
      <protection locked="0"/>
    </xf>
    <xf numFmtId="0" fontId="10" fillId="4" borderId="8" xfId="1" applyFont="1" applyFill="1" applyBorder="1" applyAlignment="1" applyProtection="1">
      <alignment horizontal="center" vertical="center" wrapText="1"/>
      <protection locked="0"/>
    </xf>
    <xf numFmtId="0" fontId="10" fillId="4" borderId="47" xfId="1" applyFont="1" applyFill="1" applyBorder="1" applyAlignment="1" applyProtection="1">
      <alignment horizontal="center" vertical="center" wrapText="1"/>
      <protection locked="0"/>
    </xf>
    <xf numFmtId="0" fontId="10" fillId="4" borderId="48" xfId="1" applyFont="1" applyFill="1" applyBorder="1" applyAlignment="1" applyProtection="1">
      <alignment horizontal="center" vertical="center" wrapText="1"/>
      <protection locked="0"/>
    </xf>
    <xf numFmtId="0" fontId="10" fillId="2" borderId="0" xfId="1" applyFont="1" applyFill="1" applyAlignment="1">
      <alignment horizontal="left" vertical="center" shrinkToFit="1"/>
    </xf>
    <xf numFmtId="0" fontId="42" fillId="0" borderId="0" xfId="1" applyFont="1" applyBorder="1" applyAlignment="1">
      <alignment horizontal="center" vertical="center"/>
    </xf>
    <xf numFmtId="0" fontId="9" fillId="2" borderId="0" xfId="1" applyFont="1" applyFill="1" applyAlignment="1">
      <alignment horizontal="right" vertical="center"/>
    </xf>
    <xf numFmtId="0" fontId="42" fillId="2" borderId="51" xfId="1" applyFont="1" applyFill="1" applyBorder="1" applyAlignment="1">
      <alignment horizontal="center" vertical="center"/>
    </xf>
    <xf numFmtId="0" fontId="4" fillId="2" borderId="53" xfId="1" applyFont="1" applyFill="1" applyBorder="1" applyAlignment="1">
      <alignment horizontal="center" vertical="center"/>
    </xf>
    <xf numFmtId="0" fontId="42" fillId="2" borderId="27" xfId="1" applyFont="1" applyFill="1" applyBorder="1" applyAlignment="1">
      <alignment horizontal="center" vertical="center"/>
    </xf>
    <xf numFmtId="0" fontId="42" fillId="2" borderId="52" xfId="1" applyFont="1" applyFill="1" applyBorder="1" applyAlignment="1">
      <alignment horizontal="center" vertical="center"/>
    </xf>
    <xf numFmtId="0" fontId="13" fillId="4" borderId="29" xfId="1" applyFont="1" applyFill="1" applyBorder="1" applyAlignment="1" applyProtection="1">
      <alignment horizontal="center" vertical="center" wrapText="1"/>
      <protection locked="0"/>
    </xf>
    <xf numFmtId="0" fontId="13" fillId="4" borderId="35" xfId="1" applyFont="1" applyFill="1" applyBorder="1" applyAlignment="1" applyProtection="1">
      <alignment horizontal="center" vertical="center" wrapText="1"/>
      <protection locked="0"/>
    </xf>
    <xf numFmtId="0" fontId="13" fillId="4" borderId="30" xfId="1" applyFont="1" applyFill="1" applyBorder="1" applyAlignment="1" applyProtection="1">
      <alignment horizontal="center" vertical="center" wrapText="1"/>
      <protection locked="0"/>
    </xf>
    <xf numFmtId="0" fontId="13" fillId="4" borderId="55" xfId="1" applyFont="1" applyFill="1" applyBorder="1" applyAlignment="1" applyProtection="1">
      <alignment horizontal="center" vertical="center" wrapText="1"/>
      <protection locked="0"/>
    </xf>
    <xf numFmtId="0" fontId="13" fillId="4" borderId="38" xfId="1" applyFont="1" applyFill="1" applyBorder="1" applyAlignment="1" applyProtection="1">
      <alignment horizontal="center" vertical="center" wrapText="1"/>
      <protection locked="0"/>
    </xf>
    <xf numFmtId="0" fontId="13" fillId="4" borderId="39" xfId="1" applyFont="1" applyFill="1" applyBorder="1" applyAlignment="1" applyProtection="1">
      <alignment horizontal="center" vertical="center" wrapText="1"/>
      <protection locked="0"/>
    </xf>
    <xf numFmtId="176" fontId="4" fillId="2" borderId="28" xfId="1" applyNumberFormat="1" applyFont="1" applyFill="1" applyBorder="1" applyAlignment="1">
      <alignment horizontal="right" vertical="center"/>
    </xf>
    <xf numFmtId="176" fontId="4" fillId="2" borderId="54" xfId="1" applyNumberFormat="1" applyFont="1" applyFill="1" applyBorder="1" applyAlignment="1">
      <alignment horizontal="right" vertical="center"/>
    </xf>
    <xf numFmtId="0" fontId="29" fillId="0" borderId="383" xfId="0" applyFont="1" applyFill="1" applyBorder="1" applyAlignment="1" applyProtection="1">
      <alignment horizontal="center" vertical="center" shrinkToFit="1"/>
    </xf>
    <xf numFmtId="0" fontId="29" fillId="0" borderId="385" xfId="0" applyFont="1" applyFill="1" applyBorder="1" applyAlignment="1" applyProtection="1">
      <alignment horizontal="center" vertical="center" shrinkToFit="1"/>
    </xf>
    <xf numFmtId="0" fontId="29" fillId="0" borderId="339" xfId="0" applyFont="1" applyFill="1" applyBorder="1" applyAlignment="1" applyProtection="1">
      <alignment horizontal="center" vertical="center" shrinkToFit="1"/>
    </xf>
    <xf numFmtId="0" fontId="47" fillId="2" borderId="401" xfId="0" applyFont="1" applyFill="1" applyBorder="1" applyAlignment="1" applyProtection="1">
      <alignment horizontal="center" vertical="center" shrinkToFit="1"/>
    </xf>
    <xf numFmtId="0" fontId="47" fillId="2" borderId="402" xfId="0" applyFont="1" applyFill="1" applyBorder="1" applyAlignment="1" applyProtection="1">
      <alignment horizontal="center" vertical="center" shrinkToFit="1"/>
    </xf>
    <xf numFmtId="0" fontId="47" fillId="2" borderId="403" xfId="0" applyFont="1" applyFill="1" applyBorder="1" applyAlignment="1" applyProtection="1">
      <alignment horizontal="center" vertical="center" shrinkToFit="1"/>
    </xf>
    <xf numFmtId="0" fontId="51" fillId="2" borderId="0" xfId="0" applyFont="1" applyFill="1" applyAlignment="1" applyProtection="1">
      <alignment horizontal="right" vertical="center"/>
    </xf>
    <xf numFmtId="0" fontId="28" fillId="3" borderId="120" xfId="0" applyFont="1" applyFill="1" applyBorder="1" applyAlignment="1" applyProtection="1">
      <alignment horizontal="center" vertical="center" shrinkToFit="1"/>
    </xf>
    <xf numFmtId="0" fontId="28" fillId="3" borderId="105" xfId="0" applyFont="1" applyFill="1" applyBorder="1" applyAlignment="1" applyProtection="1">
      <alignment horizontal="center" vertical="center" shrinkToFit="1"/>
    </xf>
    <xf numFmtId="0" fontId="28" fillId="3" borderId="426" xfId="0" applyFont="1" applyFill="1" applyBorder="1" applyAlignment="1" applyProtection="1">
      <alignment horizontal="center" vertical="center" shrinkToFit="1"/>
    </xf>
    <xf numFmtId="0" fontId="28" fillId="3" borderId="132" xfId="0" applyFont="1" applyFill="1" applyBorder="1" applyAlignment="1" applyProtection="1">
      <alignment horizontal="center" vertical="center" shrinkToFit="1"/>
    </xf>
    <xf numFmtId="0" fontId="28" fillId="2" borderId="371" xfId="0" applyFont="1" applyFill="1" applyBorder="1" applyAlignment="1" applyProtection="1">
      <alignment horizontal="left" vertical="center" shrinkToFit="1"/>
    </xf>
    <xf numFmtId="0" fontId="28" fillId="2" borderId="359" xfId="0" applyFont="1" applyFill="1" applyBorder="1" applyAlignment="1" applyProtection="1">
      <alignment horizontal="left" vertical="center" shrinkToFit="1"/>
    </xf>
    <xf numFmtId="0" fontId="28" fillId="2" borderId="394" xfId="0" applyFont="1" applyFill="1" applyBorder="1" applyAlignment="1" applyProtection="1">
      <alignment horizontal="left" vertical="center" shrinkToFit="1"/>
    </xf>
    <xf numFmtId="0" fontId="28" fillId="2" borderId="348" xfId="0" applyFont="1" applyFill="1" applyBorder="1" applyAlignment="1" applyProtection="1">
      <alignment horizontal="left" vertical="center" shrinkToFit="1"/>
    </xf>
    <xf numFmtId="0" fontId="28" fillId="2" borderId="349" xfId="0" applyFont="1" applyFill="1" applyBorder="1" applyAlignment="1" applyProtection="1">
      <alignment horizontal="left" vertical="center" shrinkToFit="1"/>
    </xf>
    <xf numFmtId="0" fontId="28" fillId="2" borderId="395" xfId="0" applyFont="1" applyFill="1" applyBorder="1" applyAlignment="1" applyProtection="1">
      <alignment horizontal="left" vertical="center" shrinkToFit="1"/>
    </xf>
    <xf numFmtId="0" fontId="28" fillId="2" borderId="86" xfId="0" applyFont="1" applyFill="1" applyBorder="1" applyAlignment="1" applyProtection="1">
      <alignment horizontal="left" vertical="center" shrinkToFit="1"/>
    </xf>
    <xf numFmtId="0" fontId="28" fillId="2" borderId="392" xfId="0" applyFont="1" applyFill="1" applyBorder="1" applyAlignment="1" applyProtection="1">
      <alignment horizontal="left" vertical="center" shrinkToFit="1"/>
    </xf>
    <xf numFmtId="0" fontId="28" fillId="2" borderId="395" xfId="0" applyNumberFormat="1" applyFont="1" applyFill="1" applyBorder="1" applyAlignment="1" applyProtection="1">
      <alignment horizontal="left" vertical="center" shrinkToFit="1"/>
    </xf>
    <xf numFmtId="0" fontId="28" fillId="2" borderId="86" xfId="0" applyNumberFormat="1" applyFont="1" applyFill="1" applyBorder="1" applyAlignment="1" applyProtection="1">
      <alignment horizontal="left" vertical="center" shrinkToFit="1"/>
    </xf>
    <xf numFmtId="0" fontId="28" fillId="2" borderId="392" xfId="0" applyNumberFormat="1" applyFont="1" applyFill="1" applyBorder="1" applyAlignment="1" applyProtection="1">
      <alignment horizontal="left" vertical="center" shrinkToFit="1"/>
    </xf>
    <xf numFmtId="0" fontId="28" fillId="3" borderId="30" xfId="0" applyFont="1" applyFill="1" applyBorder="1" applyAlignment="1" applyProtection="1">
      <alignment horizontal="center" vertical="center" shrinkToFit="1"/>
    </xf>
    <xf numFmtId="0" fontId="28" fillId="2" borderId="183" xfId="0" applyFont="1" applyFill="1" applyBorder="1" applyAlignment="1" applyProtection="1">
      <alignment horizontal="center" vertical="center" shrinkToFit="1"/>
    </xf>
    <xf numFmtId="0" fontId="28" fillId="2" borderId="184" xfId="0" applyFont="1" applyFill="1" applyBorder="1" applyAlignment="1" applyProtection="1">
      <alignment horizontal="center" vertical="center" shrinkToFit="1"/>
    </xf>
    <xf numFmtId="0" fontId="28" fillId="2" borderId="0" xfId="0" applyFont="1" applyFill="1" applyBorder="1" applyAlignment="1" applyProtection="1">
      <alignment horizontal="center" vertical="center" shrinkToFit="1"/>
    </xf>
    <xf numFmtId="0" fontId="28" fillId="2" borderId="15" xfId="0" applyFont="1" applyFill="1" applyBorder="1" applyAlignment="1" applyProtection="1">
      <alignment horizontal="center" vertical="center" shrinkToFit="1"/>
    </xf>
    <xf numFmtId="0" fontId="28" fillId="2" borderId="432" xfId="0" applyFont="1" applyFill="1" applyBorder="1" applyAlignment="1" applyProtection="1">
      <alignment horizontal="center" vertical="center" shrinkToFit="1"/>
    </xf>
    <xf numFmtId="0" fontId="28" fillId="2" borderId="247" xfId="0" applyFont="1" applyFill="1" applyBorder="1" applyAlignment="1" applyProtection="1">
      <alignment horizontal="center" vertical="center" shrinkToFit="1"/>
    </xf>
    <xf numFmtId="0" fontId="28" fillId="2" borderId="183" xfId="0" applyFont="1" applyFill="1" applyBorder="1" applyAlignment="1" applyProtection="1">
      <alignment horizontal="center" vertical="center" wrapText="1" shrinkToFit="1"/>
    </xf>
    <xf numFmtId="0" fontId="28" fillId="2" borderId="0" xfId="0" applyFont="1" applyFill="1" applyBorder="1" applyAlignment="1" applyProtection="1">
      <alignment horizontal="center" vertical="center" wrapText="1" shrinkToFit="1"/>
    </xf>
    <xf numFmtId="0" fontId="28" fillId="2" borderId="432" xfId="0" applyFont="1" applyFill="1" applyBorder="1" applyAlignment="1" applyProtection="1">
      <alignment horizontal="center" vertical="center" wrapText="1" shrinkToFit="1"/>
    </xf>
    <xf numFmtId="0" fontId="64" fillId="2" borderId="375" xfId="0" applyFont="1" applyFill="1" applyBorder="1" applyAlignment="1" applyProtection="1">
      <alignment horizontal="center" vertical="center" wrapText="1" shrinkToFit="1"/>
    </xf>
    <xf numFmtId="0" fontId="64" fillId="2" borderId="309" xfId="0" applyFont="1" applyFill="1" applyBorder="1" applyAlignment="1" applyProtection="1">
      <alignment horizontal="center" vertical="center" wrapText="1" shrinkToFit="1"/>
    </xf>
    <xf numFmtId="0" fontId="28" fillId="2" borderId="309" xfId="0" applyFont="1" applyFill="1" applyBorder="1" applyAlignment="1" applyProtection="1">
      <alignment horizontal="center" vertical="center" wrapText="1" shrinkToFit="1"/>
    </xf>
    <xf numFmtId="0" fontId="28" fillId="2" borderId="249" xfId="0" applyFont="1" applyFill="1" applyBorder="1" applyAlignment="1" applyProtection="1">
      <alignment horizontal="center" vertical="center" wrapText="1" shrinkToFit="1"/>
    </xf>
    <xf numFmtId="0" fontId="28" fillId="2" borderId="85" xfId="0" applyFont="1" applyFill="1" applyBorder="1" applyAlignment="1" applyProtection="1">
      <alignment horizontal="center" vertical="center" shrinkToFit="1"/>
    </xf>
    <xf numFmtId="0" fontId="28" fillId="2" borderId="392" xfId="0" applyFont="1" applyFill="1" applyBorder="1" applyAlignment="1" applyProtection="1">
      <alignment horizontal="center" vertical="center" shrinkToFit="1"/>
    </xf>
    <xf numFmtId="0" fontId="28" fillId="6" borderId="362" xfId="0" applyFont="1" applyFill="1" applyBorder="1" applyAlignment="1" applyProtection="1">
      <alignment horizontal="center" vertical="center" shrinkToFit="1"/>
      <protection locked="0"/>
    </xf>
    <xf numFmtId="0" fontId="28" fillId="6" borderId="404" xfId="0" applyFont="1" applyFill="1" applyBorder="1" applyAlignment="1" applyProtection="1">
      <alignment horizontal="center" vertical="center" shrinkToFit="1"/>
      <protection locked="0"/>
    </xf>
    <xf numFmtId="0" fontId="28" fillId="6" borderId="405" xfId="0" applyFont="1" applyFill="1" applyBorder="1" applyAlignment="1" applyProtection="1">
      <alignment horizontal="center" vertical="center" shrinkToFit="1"/>
      <protection locked="0"/>
    </xf>
    <xf numFmtId="0" fontId="28" fillId="6" borderId="392" xfId="0" applyFont="1" applyFill="1" applyBorder="1" applyAlignment="1" applyProtection="1">
      <alignment horizontal="center" vertical="center" shrinkToFit="1"/>
      <protection locked="0"/>
    </xf>
    <xf numFmtId="0" fontId="28" fillId="6" borderId="397" xfId="0" applyFont="1" applyFill="1" applyBorder="1" applyAlignment="1" applyProtection="1">
      <alignment horizontal="center" vertical="center" shrinkToFit="1"/>
      <protection locked="0"/>
    </xf>
    <xf numFmtId="0" fontId="28" fillId="6" borderId="395" xfId="0" applyFont="1" applyFill="1" applyBorder="1" applyAlignment="1" applyProtection="1">
      <alignment horizontal="center" vertical="center" shrinkToFit="1"/>
      <protection locked="0"/>
    </xf>
    <xf numFmtId="0" fontId="28" fillId="2" borderId="460" xfId="0" applyFont="1" applyFill="1" applyBorder="1" applyAlignment="1" applyProtection="1">
      <alignment horizontal="left" vertical="center" shrinkToFit="1"/>
    </xf>
    <xf numFmtId="0" fontId="28" fillId="2" borderId="173" xfId="0" applyFont="1" applyFill="1" applyBorder="1" applyAlignment="1" applyProtection="1">
      <alignment horizontal="left" vertical="center" shrinkToFit="1"/>
    </xf>
    <xf numFmtId="0" fontId="28" fillId="2" borderId="461" xfId="0" applyFont="1" applyFill="1" applyBorder="1" applyAlignment="1" applyProtection="1">
      <alignment horizontal="left" vertical="center" shrinkToFit="1"/>
    </xf>
    <xf numFmtId="0" fontId="28" fillId="2" borderId="21" xfId="0" applyFont="1" applyFill="1" applyBorder="1" applyAlignment="1" applyProtection="1">
      <alignment horizontal="center" vertical="center" shrinkToFit="1"/>
    </xf>
    <xf numFmtId="0" fontId="28" fillId="2" borderId="210" xfId="0" applyFont="1" applyFill="1" applyBorder="1" applyAlignment="1" applyProtection="1">
      <alignment horizontal="center" vertical="center" shrinkToFit="1"/>
    </xf>
    <xf numFmtId="0" fontId="28" fillId="2" borderId="361" xfId="0" applyFont="1" applyFill="1" applyBorder="1" applyAlignment="1" applyProtection="1">
      <alignment horizontal="center" vertical="center" shrinkToFit="1"/>
    </xf>
    <xf numFmtId="0" fontId="28" fillId="2" borderId="362" xfId="0" applyFont="1" applyFill="1" applyBorder="1" applyAlignment="1" applyProtection="1">
      <alignment horizontal="center" vertical="center" shrinkToFit="1"/>
    </xf>
    <xf numFmtId="0" fontId="28" fillId="6" borderId="0" xfId="0" applyFont="1" applyFill="1" applyBorder="1" applyAlignment="1" applyProtection="1">
      <alignment horizontal="center" vertical="center" shrinkToFit="1"/>
      <protection locked="0"/>
    </xf>
    <xf numFmtId="0" fontId="28" fillId="6" borderId="363" xfId="0" applyFont="1" applyFill="1" applyBorder="1" applyAlignment="1" applyProtection="1">
      <alignment horizontal="center" vertical="center" shrinkToFit="1"/>
      <protection locked="0"/>
    </xf>
    <xf numFmtId="0" fontId="28" fillId="6" borderId="86" xfId="0" applyFont="1" applyFill="1" applyBorder="1" applyAlignment="1" applyProtection="1">
      <alignment horizontal="center" vertical="center" shrinkToFit="1"/>
      <protection locked="0"/>
    </xf>
    <xf numFmtId="0" fontId="28" fillId="2" borderId="270" xfId="0" applyFont="1" applyFill="1" applyBorder="1" applyAlignment="1" applyProtection="1">
      <alignment horizontal="center" vertical="center" shrinkToFit="1"/>
    </xf>
    <xf numFmtId="0" fontId="28" fillId="2" borderId="355" xfId="0" applyFont="1" applyFill="1" applyBorder="1" applyAlignment="1" applyProtection="1">
      <alignment horizontal="center" vertical="center" shrinkToFit="1"/>
    </xf>
    <xf numFmtId="0" fontId="28" fillId="3" borderId="3" xfId="0" applyFont="1" applyFill="1" applyBorder="1" applyAlignment="1" applyProtection="1">
      <alignment horizontal="center" vertical="center" shrinkToFit="1"/>
    </xf>
    <xf numFmtId="3" fontId="10" fillId="2" borderId="4" xfId="1" applyNumberFormat="1" applyFont="1" applyFill="1" applyBorder="1" applyAlignment="1" applyProtection="1">
      <alignment horizontal="center" vertical="center" shrinkToFit="1"/>
    </xf>
    <xf numFmtId="0" fontId="28" fillId="2" borderId="512" xfId="0" applyFont="1" applyFill="1" applyBorder="1" applyAlignment="1">
      <alignment horizontal="left" vertical="center" shrinkToFit="1"/>
    </xf>
    <xf numFmtId="0" fontId="28" fillId="2" borderId="63" xfId="0" applyFont="1" applyFill="1" applyBorder="1" applyAlignment="1">
      <alignment horizontal="left" vertical="center" shrinkToFit="1"/>
    </xf>
    <xf numFmtId="0" fontId="28" fillId="2" borderId="15" xfId="0" applyFont="1" applyFill="1" applyBorder="1" applyAlignment="1" applyProtection="1">
      <alignment horizontal="center" vertical="center"/>
    </xf>
    <xf numFmtId="0" fontId="28" fillId="2" borderId="59" xfId="0" applyFont="1" applyFill="1" applyBorder="1" applyAlignment="1" applyProtection="1">
      <alignment horizontal="center" vertical="center" shrinkToFit="1"/>
    </xf>
    <xf numFmtId="0" fontId="28" fillId="2" borderId="417" xfId="0" applyFont="1" applyFill="1" applyBorder="1" applyAlignment="1" applyProtection="1">
      <alignment horizontal="center" vertical="center" shrinkToFit="1"/>
    </xf>
    <xf numFmtId="0" fontId="28" fillId="2" borderId="513" xfId="0" applyFont="1" applyFill="1" applyBorder="1" applyAlignment="1" applyProtection="1">
      <alignment horizontal="center" vertical="center" wrapText="1" shrinkToFit="1"/>
    </xf>
    <xf numFmtId="0" fontId="28" fillId="2" borderId="514" xfId="0" applyFont="1" applyFill="1" applyBorder="1" applyAlignment="1" applyProtection="1">
      <alignment horizontal="center" vertical="center" wrapText="1" shrinkToFit="1"/>
    </xf>
    <xf numFmtId="0" fontId="28" fillId="2" borderId="515" xfId="0" applyFont="1" applyFill="1" applyBorder="1" applyAlignment="1" applyProtection="1">
      <alignment horizontal="center" vertical="center" wrapText="1" shrinkToFit="1"/>
    </xf>
    <xf numFmtId="0" fontId="28" fillId="2" borderId="235" xfId="0" applyFont="1" applyFill="1" applyBorder="1" applyAlignment="1" applyProtection="1">
      <alignment horizontal="center" vertical="center" wrapText="1"/>
    </xf>
    <xf numFmtId="0" fontId="28" fillId="2" borderId="309" xfId="0" applyFont="1" applyFill="1" applyBorder="1" applyAlignment="1" applyProtection="1">
      <alignment horizontal="center" vertical="center" wrapText="1"/>
    </xf>
    <xf numFmtId="0" fontId="28" fillId="2" borderId="249" xfId="0" applyFont="1" applyFill="1" applyBorder="1" applyAlignment="1" applyProtection="1">
      <alignment horizontal="center" vertical="center" wrapText="1"/>
    </xf>
    <xf numFmtId="0" fontId="28" fillId="2" borderId="375" xfId="0" applyFont="1" applyFill="1" applyBorder="1" applyAlignment="1" applyProtection="1">
      <alignment horizontal="center" vertical="center" wrapText="1" shrinkToFit="1"/>
    </xf>
    <xf numFmtId="0" fontId="28" fillId="2" borderId="301" xfId="0" applyFont="1" applyFill="1" applyBorder="1" applyAlignment="1" applyProtection="1">
      <alignment horizontal="center" vertical="center" wrapText="1" shrinkToFit="1"/>
    </xf>
    <xf numFmtId="0" fontId="28" fillId="2" borderId="345" xfId="0" applyFont="1" applyFill="1" applyBorder="1" applyAlignment="1" applyProtection="1">
      <alignment horizontal="center" vertical="center" shrinkToFit="1"/>
    </xf>
    <xf numFmtId="0" fontId="28" fillId="2" borderId="193" xfId="0" applyFont="1" applyFill="1" applyBorder="1" applyAlignment="1" applyProtection="1">
      <alignment horizontal="center" vertical="center" shrinkToFit="1"/>
    </xf>
    <xf numFmtId="0" fontId="28" fillId="2" borderId="29" xfId="0" applyFont="1" applyFill="1" applyBorder="1" applyAlignment="1" applyProtection="1">
      <alignment horizontal="center" vertical="center" shrinkToFit="1"/>
    </xf>
    <xf numFmtId="0" fontId="28" fillId="2" borderId="344" xfId="0" applyFont="1" applyFill="1" applyBorder="1" applyAlignment="1" applyProtection="1">
      <alignment horizontal="center" vertical="center" shrinkToFit="1"/>
    </xf>
    <xf numFmtId="0" fontId="28" fillId="2" borderId="374" xfId="0" applyFont="1" applyFill="1" applyBorder="1" applyAlignment="1" applyProtection="1">
      <alignment horizontal="center" vertical="center" shrinkToFit="1"/>
    </xf>
    <xf numFmtId="0" fontId="28" fillId="2" borderId="349" xfId="0" applyFont="1" applyFill="1" applyBorder="1" applyAlignment="1" applyProtection="1">
      <alignment horizontal="center" vertical="center" shrinkToFit="1"/>
    </xf>
    <xf numFmtId="0" fontId="28" fillId="2" borderId="182" xfId="0" applyFont="1" applyFill="1" applyBorder="1" applyAlignment="1" applyProtection="1">
      <alignment horizontal="center" vertical="center" shrinkToFit="1"/>
    </xf>
    <xf numFmtId="0" fontId="28" fillId="2" borderId="367" xfId="0" applyFont="1" applyFill="1" applyBorder="1" applyAlignment="1" applyProtection="1">
      <alignment horizontal="center" vertical="center" shrinkToFit="1"/>
    </xf>
    <xf numFmtId="0" fontId="28" fillId="2" borderId="86" xfId="0" applyFont="1" applyFill="1" applyBorder="1" applyAlignment="1" applyProtection="1">
      <alignment horizontal="center" vertical="center" shrinkToFit="1"/>
    </xf>
    <xf numFmtId="0" fontId="28" fillId="2" borderId="87" xfId="0" applyFont="1" applyFill="1" applyBorder="1" applyAlignment="1" applyProtection="1">
      <alignment horizontal="center" vertical="center" shrinkToFit="1"/>
    </xf>
    <xf numFmtId="0" fontId="28" fillId="2" borderId="277" xfId="0" applyFont="1" applyFill="1" applyBorder="1" applyAlignment="1" applyProtection="1">
      <alignment horizontal="center" vertical="center" shrinkToFit="1"/>
    </xf>
    <xf numFmtId="0" fontId="28" fillId="6" borderId="345" xfId="0" applyFont="1" applyFill="1" applyBorder="1" applyAlignment="1" applyProtection="1">
      <alignment horizontal="center" vertical="center" shrinkToFit="1"/>
      <protection locked="0"/>
    </xf>
    <xf numFmtId="0" fontId="28" fillId="2" borderId="248" xfId="0" applyFont="1" applyFill="1" applyBorder="1" applyAlignment="1" applyProtection="1">
      <alignment horizontal="center" vertical="center" shrinkToFit="1"/>
    </xf>
    <xf numFmtId="0" fontId="28" fillId="2" borderId="431" xfId="0" applyFont="1" applyFill="1" applyBorder="1" applyAlignment="1" applyProtection="1">
      <alignment horizontal="center" vertical="center" shrinkToFit="1"/>
    </xf>
    <xf numFmtId="0" fontId="28" fillId="2" borderId="179" xfId="0" applyFont="1" applyFill="1" applyBorder="1" applyAlignment="1" applyProtection="1">
      <alignment horizontal="center" vertical="center" shrinkToFit="1"/>
    </xf>
    <xf numFmtId="0" fontId="28" fillId="2" borderId="180" xfId="0" applyFont="1" applyFill="1" applyBorder="1" applyAlignment="1" applyProtection="1">
      <alignment horizontal="center" vertical="center" shrinkToFit="1"/>
    </xf>
    <xf numFmtId="0" fontId="28" fillId="2" borderId="178" xfId="0" applyFont="1" applyFill="1" applyBorder="1" applyAlignment="1" applyProtection="1">
      <alignment horizontal="center" vertical="center" shrinkToFit="1"/>
    </xf>
    <xf numFmtId="0" fontId="28" fillId="2" borderId="359" xfId="0" applyFont="1" applyFill="1" applyBorder="1" applyAlignment="1" applyProtection="1">
      <alignment horizontal="center" vertical="center" shrinkToFit="1"/>
    </xf>
    <xf numFmtId="0" fontId="28" fillId="3" borderId="38" xfId="0" applyFont="1" applyFill="1" applyBorder="1" applyAlignment="1" applyProtection="1">
      <alignment horizontal="center" vertical="center" shrinkToFit="1"/>
    </xf>
    <xf numFmtId="0" fontId="28" fillId="3" borderId="113" xfId="0" applyFont="1" applyFill="1" applyBorder="1" applyAlignment="1" applyProtection="1">
      <alignment horizontal="center" vertical="center" shrinkToFit="1"/>
    </xf>
    <xf numFmtId="0" fontId="28" fillId="6" borderId="416" xfId="0" applyFont="1" applyFill="1" applyBorder="1" applyAlignment="1" applyProtection="1">
      <alignment horizontal="center" vertical="center" shrinkToFit="1"/>
      <protection locked="0"/>
    </xf>
    <xf numFmtId="0" fontId="28" fillId="6" borderId="89" xfId="0" applyFont="1" applyFill="1" applyBorder="1" applyAlignment="1" applyProtection="1">
      <alignment horizontal="center" vertical="center" shrinkToFit="1"/>
      <protection locked="0"/>
    </xf>
    <xf numFmtId="0" fontId="28" fillId="2" borderId="88" xfId="0" applyFont="1" applyFill="1" applyBorder="1" applyAlignment="1" applyProtection="1">
      <alignment horizontal="center" vertical="center" shrinkToFit="1"/>
    </xf>
    <xf numFmtId="0" fontId="28" fillId="2" borderId="285" xfId="0" applyFont="1" applyFill="1" applyBorder="1" applyAlignment="1" applyProtection="1">
      <alignment horizontal="center" vertical="center" shrinkToFit="1"/>
    </xf>
    <xf numFmtId="0" fontId="28" fillId="2" borderId="65" xfId="0" applyFont="1" applyFill="1" applyBorder="1" applyAlignment="1" applyProtection="1">
      <alignment horizontal="center" vertical="center" shrinkToFit="1"/>
    </xf>
    <xf numFmtId="0" fontId="28" fillId="2" borderId="279" xfId="0" applyFont="1" applyFill="1" applyBorder="1" applyAlignment="1" applyProtection="1">
      <alignment horizontal="center" vertical="center" shrinkToFit="1"/>
    </xf>
    <xf numFmtId="0" fontId="28" fillId="6" borderId="278" xfId="0" applyFont="1" applyFill="1" applyBorder="1" applyAlignment="1" applyProtection="1">
      <alignment horizontal="center" vertical="center" shrinkToFit="1"/>
      <protection locked="0"/>
    </xf>
    <xf numFmtId="0" fontId="28" fillId="6" borderId="66" xfId="0" applyFont="1" applyFill="1" applyBorder="1" applyAlignment="1" applyProtection="1">
      <alignment horizontal="center" vertical="center" shrinkToFit="1"/>
      <protection locked="0"/>
    </xf>
    <xf numFmtId="0" fontId="28" fillId="2" borderId="218" xfId="0" applyFont="1" applyFill="1" applyBorder="1" applyAlignment="1" applyProtection="1">
      <alignment horizontal="center" vertical="center" shrinkToFit="1"/>
    </xf>
    <xf numFmtId="0" fontId="28" fillId="2" borderId="219" xfId="0" applyFont="1" applyFill="1" applyBorder="1" applyAlignment="1" applyProtection="1">
      <alignment horizontal="center" vertical="center" shrinkToFit="1"/>
    </xf>
    <xf numFmtId="0" fontId="28" fillId="6" borderId="426" xfId="0" applyFont="1" applyFill="1" applyBorder="1" applyAlignment="1" applyProtection="1">
      <alignment horizontal="center" vertical="center" shrinkToFit="1"/>
      <protection locked="0"/>
    </xf>
    <xf numFmtId="0" fontId="28" fillId="6" borderId="132" xfId="0" applyFont="1" applyFill="1" applyBorder="1" applyAlignment="1" applyProtection="1">
      <alignment horizontal="center" vertical="center" shrinkToFit="1"/>
      <protection locked="0"/>
    </xf>
    <xf numFmtId="0" fontId="28" fillId="6" borderId="418" xfId="0" applyFont="1" applyFill="1" applyBorder="1" applyAlignment="1" applyProtection="1">
      <alignment horizontal="center" vertical="center" shrinkToFit="1"/>
      <protection locked="0"/>
    </xf>
    <xf numFmtId="0" fontId="28" fillId="6" borderId="60" xfId="0" applyFont="1" applyFill="1" applyBorder="1" applyAlignment="1" applyProtection="1">
      <alignment horizontal="center" vertical="center" shrinkToFit="1"/>
      <protection locked="0"/>
    </xf>
    <xf numFmtId="0" fontId="28" fillId="2" borderId="215" xfId="0" applyFont="1" applyFill="1" applyBorder="1" applyAlignment="1" applyProtection="1">
      <alignment horizontal="center" vertical="center" shrinkToFit="1"/>
    </xf>
    <xf numFmtId="0" fontId="28" fillId="2" borderId="413" xfId="0" applyFont="1" applyFill="1" applyBorder="1" applyAlignment="1" applyProtection="1">
      <alignment horizontal="center" vertical="center" shrinkToFit="1"/>
    </xf>
    <xf numFmtId="0" fontId="28" fillId="6" borderId="414" xfId="0" applyFont="1" applyFill="1" applyBorder="1" applyAlignment="1" applyProtection="1">
      <alignment horizontal="center" vertical="center" shrinkToFit="1"/>
      <protection locked="0"/>
    </xf>
    <xf numFmtId="0" fontId="28" fillId="6" borderId="216" xfId="0" applyFont="1" applyFill="1" applyBorder="1" applyAlignment="1" applyProtection="1">
      <alignment horizontal="center" vertical="center" shrinkToFit="1"/>
      <protection locked="0"/>
    </xf>
    <xf numFmtId="207" fontId="10" fillId="2" borderId="21" xfId="1" applyNumberFormat="1" applyFont="1" applyFill="1" applyBorder="1" applyAlignment="1" applyProtection="1">
      <alignment horizontal="right" vertical="center" shrinkToFit="1"/>
    </xf>
    <xf numFmtId="207" fontId="10" fillId="2" borderId="20" xfId="1" applyNumberFormat="1" applyFont="1" applyFill="1" applyBorder="1" applyAlignment="1" applyProtection="1">
      <alignment horizontal="right" vertical="center" shrinkToFit="1"/>
    </xf>
    <xf numFmtId="0" fontId="10" fillId="3" borderId="5" xfId="1" applyFont="1" applyFill="1" applyBorder="1" applyAlignment="1" applyProtection="1">
      <alignment horizontal="center" vertical="center" shrinkToFit="1"/>
    </xf>
    <xf numFmtId="0" fontId="10" fillId="3" borderId="28" xfId="1" applyFont="1" applyFill="1" applyBorder="1" applyAlignment="1" applyProtection="1">
      <alignment horizontal="center" vertical="center" shrinkToFit="1"/>
    </xf>
    <xf numFmtId="198" fontId="10" fillId="2" borderId="307" xfId="1" applyNumberFormat="1" applyFont="1" applyFill="1" applyBorder="1" applyAlignment="1" applyProtection="1">
      <alignment horizontal="right" vertical="center" shrinkToFit="1"/>
    </xf>
    <xf numFmtId="198" fontId="10" fillId="2" borderId="309" xfId="1" applyNumberFormat="1" applyFont="1" applyFill="1" applyBorder="1" applyAlignment="1" applyProtection="1">
      <alignment horizontal="right" vertical="center" shrinkToFit="1"/>
    </xf>
    <xf numFmtId="198" fontId="10" fillId="2" borderId="249" xfId="1" applyNumberFormat="1" applyFont="1" applyFill="1" applyBorder="1" applyAlignment="1" applyProtection="1">
      <alignment horizontal="right" vertical="center" shrinkToFit="1"/>
    </xf>
    <xf numFmtId="2" fontId="10" fillId="2" borderId="353" xfId="1" applyNumberFormat="1" applyFont="1" applyFill="1" applyBorder="1" applyAlignment="1" applyProtection="1">
      <alignment horizontal="right" vertical="center" shrinkToFit="1"/>
    </xf>
    <xf numFmtId="2" fontId="10" fillId="2" borderId="206" xfId="1" applyNumberFormat="1" applyFont="1" applyFill="1" applyBorder="1" applyAlignment="1" applyProtection="1">
      <alignment horizontal="right" vertical="center" shrinkToFit="1"/>
    </xf>
    <xf numFmtId="2" fontId="10" fillId="2" borderId="370" xfId="1" applyNumberFormat="1" applyFont="1" applyFill="1" applyBorder="1" applyAlignment="1" applyProtection="1">
      <alignment horizontal="right" vertical="center" shrinkToFit="1"/>
    </xf>
    <xf numFmtId="0" fontId="28" fillId="2" borderId="273" xfId="0" applyFont="1" applyFill="1" applyBorder="1" applyAlignment="1" applyProtection="1">
      <alignment horizontal="center" vertical="center"/>
    </xf>
    <xf numFmtId="0" fontId="28" fillId="2" borderId="270" xfId="0" applyFont="1" applyFill="1" applyBorder="1" applyAlignment="1" applyProtection="1">
      <alignment horizontal="center" vertical="center"/>
    </xf>
    <xf numFmtId="0" fontId="28" fillId="2" borderId="284" xfId="0" applyFont="1" applyFill="1" applyBorder="1" applyAlignment="1" applyProtection="1">
      <alignment horizontal="center" vertical="center"/>
    </xf>
    <xf numFmtId="0" fontId="28" fillId="2" borderId="275" xfId="0" applyFont="1" applyFill="1" applyBorder="1" applyAlignment="1" applyProtection="1">
      <alignment horizontal="center" vertical="center" wrapText="1" shrinkToFit="1"/>
    </xf>
    <xf numFmtId="0" fontId="28" fillId="2" borderId="16" xfId="0" applyFont="1" applyFill="1" applyBorder="1" applyAlignment="1" applyProtection="1">
      <alignment horizontal="center" vertical="center" wrapText="1" shrinkToFit="1"/>
    </xf>
    <xf numFmtId="0" fontId="28" fillId="2" borderId="303" xfId="0" applyFont="1" applyFill="1" applyBorder="1" applyAlignment="1" applyProtection="1">
      <alignment horizontal="center" vertical="center" wrapText="1" shrinkToFit="1"/>
    </xf>
    <xf numFmtId="0" fontId="28" fillId="2" borderId="15" xfId="0" applyFont="1" applyFill="1" applyBorder="1" applyAlignment="1" applyProtection="1">
      <alignment horizontal="center" vertical="center" wrapText="1" shrinkToFit="1"/>
    </xf>
    <xf numFmtId="0" fontId="28" fillId="2" borderId="354" xfId="0" applyFont="1" applyFill="1" applyBorder="1" applyAlignment="1" applyProtection="1">
      <alignment horizontal="center" vertical="center" wrapText="1" shrinkToFit="1"/>
    </xf>
    <xf numFmtId="0" fontId="28" fillId="2" borderId="247" xfId="0" applyFont="1" applyFill="1" applyBorder="1" applyAlignment="1" applyProtection="1">
      <alignment horizontal="center" vertical="center" wrapText="1" shrinkToFit="1"/>
    </xf>
    <xf numFmtId="0" fontId="28" fillId="3" borderId="51" xfId="0" applyFont="1" applyFill="1" applyBorder="1" applyAlignment="1" applyProtection="1">
      <alignment horizontal="center" vertical="center"/>
    </xf>
    <xf numFmtId="0" fontId="28" fillId="3" borderId="49" xfId="0" applyFont="1" applyFill="1" applyBorder="1" applyAlignment="1" applyProtection="1">
      <alignment horizontal="center" vertical="center"/>
    </xf>
    <xf numFmtId="0" fontId="28" fillId="3" borderId="53" xfId="0" applyFont="1" applyFill="1" applyBorder="1" applyAlignment="1" applyProtection="1">
      <alignment horizontal="center" vertical="center"/>
    </xf>
    <xf numFmtId="198" fontId="28" fillId="2" borderId="303" xfId="0" applyNumberFormat="1" applyFont="1" applyFill="1" applyBorder="1" applyAlignment="1" applyProtection="1">
      <alignment horizontal="right" vertical="center" shrinkToFit="1"/>
    </xf>
    <xf numFmtId="198" fontId="28" fillId="2" borderId="304" xfId="0" applyNumberFormat="1" applyFont="1" applyFill="1" applyBorder="1" applyAlignment="1" applyProtection="1">
      <alignment horizontal="right" vertical="center" shrinkToFit="1"/>
    </xf>
    <xf numFmtId="207" fontId="10" fillId="2" borderId="6" xfId="1" applyNumberFormat="1" applyFont="1" applyFill="1" applyBorder="1" applyAlignment="1" applyProtection="1">
      <alignment horizontal="right" vertical="center" shrinkToFit="1"/>
    </xf>
    <xf numFmtId="207" fontId="10" fillId="2" borderId="8" xfId="1" applyNumberFormat="1" applyFont="1" applyFill="1" applyBorder="1" applyAlignment="1" applyProtection="1">
      <alignment horizontal="right" vertical="center" shrinkToFit="1"/>
    </xf>
    <xf numFmtId="0" fontId="28" fillId="2" borderId="178" xfId="0" applyFont="1" applyFill="1" applyBorder="1" applyAlignment="1" applyProtection="1">
      <alignment horizontal="left" vertical="center"/>
    </xf>
    <xf numFmtId="0" fontId="28" fillId="2" borderId="179" xfId="0" applyFont="1" applyFill="1" applyBorder="1" applyAlignment="1" applyProtection="1">
      <alignment horizontal="left" vertical="center"/>
    </xf>
    <xf numFmtId="0" fontId="28" fillId="2" borderId="360" xfId="0" applyFont="1" applyFill="1" applyBorder="1" applyAlignment="1" applyProtection="1">
      <alignment horizontal="left" vertical="center"/>
    </xf>
    <xf numFmtId="0" fontId="28" fillId="2" borderId="412" xfId="0" applyFont="1" applyFill="1" applyBorder="1" applyAlignment="1" applyProtection="1">
      <alignment horizontal="center" vertical="center" shrinkToFit="1"/>
    </xf>
    <xf numFmtId="0" fontId="28" fillId="2" borderId="408" xfId="0" applyFont="1" applyFill="1" applyBorder="1" applyAlignment="1" applyProtection="1">
      <alignment horizontal="center" vertical="center" shrinkToFit="1"/>
    </xf>
    <xf numFmtId="2" fontId="47" fillId="2" borderId="178" xfId="0" applyNumberFormat="1" applyFont="1" applyFill="1" applyBorder="1" applyAlignment="1" applyProtection="1">
      <alignment horizontal="center" vertical="center" shrinkToFit="1"/>
    </xf>
    <xf numFmtId="2" fontId="47" fillId="2" borderId="180" xfId="0" applyNumberFormat="1" applyFont="1" applyFill="1" applyBorder="1" applyAlignment="1" applyProtection="1">
      <alignment horizontal="center" vertical="center" shrinkToFit="1"/>
    </xf>
    <xf numFmtId="0" fontId="28" fillId="4" borderId="156" xfId="0" applyFont="1" applyFill="1" applyBorder="1" applyAlignment="1" applyProtection="1">
      <alignment horizontal="center" vertical="center"/>
      <protection locked="0"/>
    </xf>
    <xf numFmtId="0" fontId="28" fillId="4" borderId="87" xfId="0" applyFont="1" applyFill="1" applyBorder="1" applyAlignment="1" applyProtection="1">
      <alignment horizontal="center" vertical="center"/>
      <protection locked="0"/>
    </xf>
    <xf numFmtId="207" fontId="28" fillId="2" borderId="6" xfId="4" applyNumberFormat="1" applyFont="1" applyFill="1" applyBorder="1" applyAlignment="1" applyProtection="1">
      <alignment horizontal="right" vertical="center" shrinkToFit="1"/>
    </xf>
    <xf numFmtId="207" fontId="28" fillId="2" borderId="8" xfId="4" applyNumberFormat="1" applyFont="1" applyFill="1" applyBorder="1" applyAlignment="1" applyProtection="1">
      <alignment horizontal="right" vertical="center" shrinkToFit="1"/>
    </xf>
    <xf numFmtId="207" fontId="47" fillId="2" borderId="6" xfId="4" applyNumberFormat="1" applyFont="1" applyFill="1" applyBorder="1" applyAlignment="1" applyProtection="1">
      <alignment horizontal="right" vertical="center" shrinkToFit="1"/>
    </xf>
    <xf numFmtId="207" fontId="47" fillId="2" borderId="8" xfId="4" applyNumberFormat="1" applyFont="1" applyFill="1" applyBorder="1" applyAlignment="1" applyProtection="1">
      <alignment horizontal="right" vertical="center" shrinkToFit="1"/>
    </xf>
    <xf numFmtId="20" fontId="28" fillId="2" borderId="182" xfId="0" applyNumberFormat="1" applyFont="1" applyFill="1" applyBorder="1" applyAlignment="1" applyProtection="1">
      <alignment horizontal="left" vertical="center" wrapText="1"/>
    </xf>
    <xf numFmtId="20" fontId="28" fillId="2" borderId="183" xfId="0" applyNumberFormat="1" applyFont="1" applyFill="1" applyBorder="1" applyAlignment="1" applyProtection="1">
      <alignment horizontal="left" vertical="center" wrapText="1"/>
    </xf>
    <xf numFmtId="20" fontId="28" fillId="2" borderId="369" xfId="0" applyNumberFormat="1" applyFont="1" applyFill="1" applyBorder="1" applyAlignment="1" applyProtection="1">
      <alignment horizontal="left" vertical="center" wrapText="1"/>
    </xf>
    <xf numFmtId="20" fontId="28" fillId="2" borderId="175" xfId="0" applyNumberFormat="1" applyFont="1" applyFill="1" applyBorder="1" applyAlignment="1" applyProtection="1">
      <alignment horizontal="left" vertical="center" wrapText="1"/>
    </xf>
    <xf numFmtId="20" fontId="28" fillId="2" borderId="176" xfId="0" applyNumberFormat="1" applyFont="1" applyFill="1" applyBorder="1" applyAlignment="1" applyProtection="1">
      <alignment horizontal="left" vertical="center" wrapText="1"/>
    </xf>
    <xf numFmtId="20" fontId="28" fillId="2" borderId="366" xfId="0" applyNumberFormat="1" applyFont="1" applyFill="1" applyBorder="1" applyAlignment="1" applyProtection="1">
      <alignment horizontal="left" vertical="center" wrapText="1"/>
    </xf>
    <xf numFmtId="0" fontId="28" fillId="2" borderId="371" xfId="0" applyFont="1" applyFill="1" applyBorder="1" applyAlignment="1" applyProtection="1">
      <alignment horizontal="center" vertical="center" shrinkToFit="1"/>
    </xf>
    <xf numFmtId="0" fontId="28" fillId="3" borderId="236" xfId="0" applyFont="1" applyFill="1" applyBorder="1" applyAlignment="1" applyProtection="1">
      <alignment horizontal="center" vertical="center" wrapText="1"/>
    </xf>
    <xf numFmtId="0" fontId="28" fillId="3" borderId="270" xfId="0" applyFont="1" applyFill="1" applyBorder="1" applyAlignment="1" applyProtection="1">
      <alignment horizontal="center" vertical="center" wrapText="1"/>
    </xf>
    <xf numFmtId="0" fontId="28" fillId="3" borderId="242" xfId="0" applyFont="1" applyFill="1" applyBorder="1" applyAlignment="1" applyProtection="1">
      <alignment horizontal="center" vertical="center" wrapText="1"/>
    </xf>
    <xf numFmtId="0" fontId="28" fillId="3" borderId="290" xfId="0" applyFont="1" applyFill="1" applyBorder="1" applyAlignment="1" applyProtection="1">
      <alignment horizontal="center" vertical="center" wrapText="1"/>
    </xf>
    <xf numFmtId="0" fontId="28" fillId="3" borderId="294" xfId="0" applyFont="1" applyFill="1" applyBorder="1" applyAlignment="1" applyProtection="1">
      <alignment horizontal="center" vertical="center" wrapText="1"/>
    </xf>
    <xf numFmtId="207" fontId="28" fillId="2" borderId="9" xfId="0" applyNumberFormat="1" applyFont="1" applyFill="1" applyBorder="1" applyAlignment="1" applyProtection="1">
      <alignment horizontal="right" vertical="center" shrinkToFit="1"/>
    </xf>
    <xf numFmtId="207" fontId="28" fillId="2" borderId="8" xfId="0" applyNumberFormat="1" applyFont="1" applyFill="1" applyBorder="1" applyAlignment="1" applyProtection="1">
      <alignment horizontal="right" vertical="center" shrinkToFit="1"/>
    </xf>
    <xf numFmtId="0" fontId="45" fillId="2" borderId="19" xfId="0" applyFont="1" applyFill="1" applyBorder="1" applyAlignment="1" applyProtection="1">
      <alignment horizontal="center" vertical="center" wrapText="1"/>
    </xf>
    <xf numFmtId="0" fontId="45" fillId="2" borderId="32" xfId="0" applyFont="1" applyFill="1" applyBorder="1" applyAlignment="1" applyProtection="1">
      <alignment horizontal="center" vertical="center" wrapText="1"/>
    </xf>
    <xf numFmtId="0" fontId="45" fillId="2" borderId="21" xfId="0" applyFont="1" applyFill="1" applyBorder="1" applyAlignment="1" applyProtection="1">
      <alignment horizontal="center" vertical="center" wrapText="1"/>
    </xf>
    <xf numFmtId="0" fontId="45" fillId="2" borderId="0" xfId="0" applyFont="1" applyFill="1" applyBorder="1" applyAlignment="1" applyProtection="1">
      <alignment horizontal="center" vertical="center" wrapText="1"/>
    </xf>
    <xf numFmtId="0" fontId="45" fillId="2" borderId="248" xfId="0" applyFont="1" applyFill="1" applyBorder="1" applyAlignment="1" applyProtection="1">
      <alignment horizontal="center" vertical="center" wrapText="1"/>
    </xf>
    <xf numFmtId="0" fontId="45" fillId="2" borderId="432" xfId="0" applyFont="1" applyFill="1" applyBorder="1" applyAlignment="1" applyProtection="1">
      <alignment horizontal="center" vertical="center" wrapText="1"/>
    </xf>
    <xf numFmtId="0" fontId="28" fillId="4" borderId="291" xfId="0" applyFont="1" applyFill="1" applyBorder="1" applyAlignment="1" applyProtection="1">
      <alignment horizontal="center" vertical="center"/>
      <protection locked="0"/>
    </xf>
    <xf numFmtId="0" fontId="28" fillId="4" borderId="67" xfId="0" applyFont="1" applyFill="1" applyBorder="1" applyAlignment="1" applyProtection="1">
      <alignment horizontal="center" vertical="center"/>
      <protection locked="0"/>
    </xf>
    <xf numFmtId="207" fontId="10" fillId="2" borderId="9" xfId="1" applyNumberFormat="1" applyFont="1" applyFill="1" applyBorder="1" applyAlignment="1" applyProtection="1">
      <alignment horizontal="right" vertical="center" shrinkToFit="1"/>
    </xf>
    <xf numFmtId="207" fontId="13" fillId="2" borderId="6" xfId="1" applyNumberFormat="1" applyFont="1" applyFill="1" applyBorder="1" applyAlignment="1" applyProtection="1">
      <alignment horizontal="right" vertical="center" shrinkToFit="1"/>
    </xf>
    <xf numFmtId="207" fontId="13" fillId="2" borderId="9" xfId="1" applyNumberFormat="1" applyFont="1" applyFill="1" applyBorder="1" applyAlignment="1" applyProtection="1">
      <alignment horizontal="right" vertical="center" shrinkToFit="1"/>
    </xf>
    <xf numFmtId="207" fontId="13" fillId="2" borderId="8" xfId="1" applyNumberFormat="1" applyFont="1" applyFill="1" applyBorder="1" applyAlignment="1" applyProtection="1">
      <alignment horizontal="right" vertical="center" shrinkToFit="1"/>
    </xf>
    <xf numFmtId="3" fontId="10" fillId="2" borderId="8" xfId="1" applyNumberFormat="1" applyFont="1" applyFill="1" applyBorder="1" applyAlignment="1" applyProtection="1">
      <alignment horizontal="right" vertical="center" shrinkToFit="1"/>
    </xf>
    <xf numFmtId="3" fontId="10" fillId="2" borderId="4" xfId="1" applyNumberFormat="1" applyFont="1" applyFill="1" applyBorder="1" applyAlignment="1" applyProtection="1">
      <alignment horizontal="right" vertical="center" shrinkToFit="1"/>
    </xf>
    <xf numFmtId="0" fontId="28" fillId="6" borderId="279" xfId="0" applyFont="1" applyFill="1" applyBorder="1" applyAlignment="1" applyProtection="1">
      <alignment horizontal="center" vertical="center" shrinkToFit="1"/>
      <protection locked="0"/>
    </xf>
    <xf numFmtId="0" fontId="28" fillId="6" borderId="271" xfId="0" applyFont="1" applyFill="1" applyBorder="1" applyAlignment="1" applyProtection="1">
      <alignment horizontal="center" vertical="center" shrinkToFit="1"/>
      <protection locked="0"/>
    </xf>
    <xf numFmtId="0" fontId="28" fillId="3" borderId="448" xfId="0" applyFont="1" applyFill="1" applyBorder="1" applyAlignment="1" applyProtection="1">
      <alignment horizontal="center" vertical="center" wrapText="1"/>
    </xf>
    <xf numFmtId="0" fontId="28" fillId="3" borderId="465" xfId="0" applyFont="1" applyFill="1" applyBorder="1" applyAlignment="1" applyProtection="1">
      <alignment horizontal="center" vertical="center" wrapText="1"/>
    </xf>
    <xf numFmtId="0" fontId="28" fillId="3" borderId="466" xfId="0" applyFont="1" applyFill="1" applyBorder="1" applyAlignment="1" applyProtection="1">
      <alignment horizontal="center" vertical="center" wrapText="1"/>
    </xf>
    <xf numFmtId="0" fontId="28" fillId="3" borderId="473" xfId="0" applyFont="1" applyFill="1" applyBorder="1" applyAlignment="1" applyProtection="1">
      <alignment horizontal="center" vertical="center" wrapText="1"/>
    </xf>
    <xf numFmtId="0" fontId="28" fillId="3" borderId="103" xfId="0" applyFont="1" applyFill="1" applyBorder="1" applyAlignment="1" applyProtection="1">
      <alignment horizontal="center" vertical="center" wrapText="1"/>
    </xf>
    <xf numFmtId="0" fontId="28" fillId="3" borderId="105" xfId="0" applyFont="1" applyFill="1" applyBorder="1" applyAlignment="1" applyProtection="1">
      <alignment horizontal="center" vertical="center" wrapText="1"/>
    </xf>
    <xf numFmtId="0" fontId="28" fillId="3" borderId="37" xfId="0" applyFont="1" applyFill="1" applyBorder="1" applyAlignment="1" applyProtection="1">
      <alignment horizontal="center" vertical="center" wrapText="1"/>
    </xf>
    <xf numFmtId="0" fontId="28" fillId="3" borderId="38" xfId="0" applyFont="1" applyFill="1" applyBorder="1" applyAlignment="1" applyProtection="1">
      <alignment horizontal="center" vertical="center" wrapText="1"/>
    </xf>
    <xf numFmtId="0" fontId="28" fillId="3" borderId="113" xfId="0" applyFont="1" applyFill="1" applyBorder="1" applyAlignment="1" applyProtection="1">
      <alignment horizontal="center" vertical="center" wrapText="1"/>
    </xf>
    <xf numFmtId="0" fontId="28" fillId="2" borderId="346" xfId="0" applyFont="1" applyFill="1" applyBorder="1" applyAlignment="1" applyProtection="1">
      <alignment horizontal="center" vertical="center"/>
    </xf>
    <xf numFmtId="0" fontId="28" fillId="2" borderId="288" xfId="0" applyFont="1" applyFill="1" applyBorder="1" applyAlignment="1" applyProtection="1">
      <alignment horizontal="center" vertical="center"/>
    </xf>
    <xf numFmtId="0" fontId="28" fillId="2" borderId="472" xfId="0" applyFont="1" applyFill="1" applyBorder="1" applyAlignment="1" applyProtection="1">
      <alignment horizontal="center" vertical="center"/>
    </xf>
    <xf numFmtId="0" fontId="28" fillId="2" borderId="348" xfId="0" applyFont="1" applyFill="1" applyBorder="1" applyAlignment="1" applyProtection="1">
      <alignment horizontal="center" vertical="center" shrinkToFit="1"/>
    </xf>
    <xf numFmtId="0" fontId="28" fillId="2" borderId="350" xfId="0" applyFont="1" applyFill="1" applyBorder="1" applyAlignment="1" applyProtection="1">
      <alignment horizontal="center" vertical="center" shrinkToFit="1"/>
    </xf>
    <xf numFmtId="0" fontId="28" fillId="6" borderId="277" xfId="0" applyFont="1" applyFill="1" applyBorder="1" applyAlignment="1" applyProtection="1">
      <alignment horizontal="center" vertical="center" shrinkToFit="1"/>
      <protection locked="0"/>
    </xf>
    <xf numFmtId="0" fontId="28" fillId="6" borderId="283" xfId="0" applyFont="1" applyFill="1" applyBorder="1" applyAlignment="1" applyProtection="1">
      <alignment horizontal="center" vertical="center" shrinkToFit="1"/>
      <protection locked="0"/>
    </xf>
    <xf numFmtId="0" fontId="28" fillId="6" borderId="276" xfId="0" applyFont="1" applyFill="1" applyBorder="1" applyAlignment="1" applyProtection="1">
      <alignment horizontal="center" vertical="center" shrinkToFit="1"/>
      <protection locked="0"/>
    </xf>
    <xf numFmtId="0" fontId="28" fillId="2" borderId="159" xfId="0" applyFont="1" applyFill="1" applyBorder="1" applyAlignment="1" applyProtection="1">
      <alignment horizontal="center" vertical="center"/>
    </xf>
    <xf numFmtId="0" fontId="28" fillId="2" borderId="343" xfId="0" applyFont="1" applyFill="1" applyBorder="1" applyAlignment="1" applyProtection="1">
      <alignment horizontal="center" vertical="center"/>
    </xf>
    <xf numFmtId="0" fontId="28" fillId="2" borderId="411" xfId="0" applyFont="1" applyFill="1" applyBorder="1" applyAlignment="1" applyProtection="1">
      <alignment horizontal="center" vertical="center" shrinkToFit="1"/>
    </xf>
    <xf numFmtId="0" fontId="28" fillId="2" borderId="145" xfId="0" applyFont="1" applyFill="1" applyBorder="1" applyAlignment="1" applyProtection="1">
      <alignment horizontal="center" vertical="center" shrinkToFit="1"/>
    </xf>
    <xf numFmtId="0" fontId="28" fillId="2" borderId="17" xfId="0" applyFont="1" applyFill="1" applyBorder="1" applyAlignment="1" applyProtection="1">
      <alignment horizontal="left" vertical="center"/>
    </xf>
    <xf numFmtId="0" fontId="28" fillId="2" borderId="305" xfId="0" applyFont="1" applyFill="1" applyBorder="1" applyAlignment="1" applyProtection="1">
      <alignment horizontal="center" vertical="center" shrinkToFit="1"/>
    </xf>
    <xf numFmtId="0" fontId="28" fillId="2" borderId="307" xfId="0" applyFont="1" applyFill="1" applyBorder="1" applyAlignment="1" applyProtection="1">
      <alignment horizontal="center" vertical="center" shrinkToFit="1"/>
    </xf>
    <xf numFmtId="0" fontId="28" fillId="2" borderId="4" xfId="0" applyFont="1" applyFill="1" applyBorder="1" applyAlignment="1" applyProtection="1">
      <alignment horizontal="left" vertical="center" shrinkToFit="1"/>
    </xf>
    <xf numFmtId="0" fontId="28" fillId="2" borderId="17" xfId="0" applyFont="1" applyFill="1" applyBorder="1" applyAlignment="1" applyProtection="1">
      <alignment horizontal="left" vertical="center" shrinkToFit="1"/>
    </xf>
    <xf numFmtId="0" fontId="47" fillId="3" borderId="29" xfId="0" applyFont="1" applyFill="1" applyBorder="1" applyAlignment="1" applyProtection="1">
      <alignment horizontal="center" vertical="center" wrapText="1"/>
    </xf>
    <xf numFmtId="0" fontId="47" fillId="3" borderId="35" xfId="0" applyFont="1" applyFill="1" applyBorder="1" applyAlignment="1" applyProtection="1">
      <alignment horizontal="center" vertical="center" wrapText="1"/>
    </xf>
    <xf numFmtId="0" fontId="47" fillId="3" borderId="21" xfId="0" applyFont="1" applyFill="1" applyBorder="1" applyAlignment="1" applyProtection="1">
      <alignment horizontal="center" vertical="center" wrapText="1"/>
    </xf>
    <xf numFmtId="0" fontId="47" fillId="3" borderId="0" xfId="0" applyFont="1" applyFill="1" applyBorder="1" applyAlignment="1" applyProtection="1">
      <alignment horizontal="center" vertical="center" wrapText="1"/>
    </xf>
    <xf numFmtId="0" fontId="47" fillId="3" borderId="55" xfId="0" applyFont="1" applyFill="1" applyBorder="1" applyAlignment="1" applyProtection="1">
      <alignment horizontal="center" vertical="center" wrapText="1"/>
    </xf>
    <xf numFmtId="0" fontId="47" fillId="3" borderId="38" xfId="0" applyFont="1" applyFill="1" applyBorder="1" applyAlignment="1" applyProtection="1">
      <alignment horizontal="center" vertical="center" wrapText="1"/>
    </xf>
    <xf numFmtId="0" fontId="28" fillId="3" borderId="104" xfId="0" applyFont="1" applyFill="1" applyBorder="1" applyAlignment="1" applyProtection="1">
      <alignment horizontal="center" vertical="center" shrinkToFit="1"/>
    </xf>
    <xf numFmtId="0" fontId="28" fillId="3" borderId="274" xfId="0" applyFont="1" applyFill="1" applyBorder="1" applyAlignment="1" applyProtection="1">
      <alignment horizontal="center" vertical="center" shrinkToFit="1"/>
    </xf>
    <xf numFmtId="0" fontId="28" fillId="3" borderId="55" xfId="0" applyFont="1" applyFill="1" applyBorder="1" applyAlignment="1" applyProtection="1">
      <alignment horizontal="center" vertical="center" shrinkToFit="1"/>
    </xf>
    <xf numFmtId="0" fontId="28" fillId="3" borderId="114" xfId="0" applyFont="1" applyFill="1" applyBorder="1" applyAlignment="1" applyProtection="1">
      <alignment horizontal="center" vertical="center" shrinkToFit="1"/>
    </xf>
    <xf numFmtId="0" fontId="28" fillId="3" borderId="341" xfId="0" applyFont="1" applyFill="1" applyBorder="1" applyAlignment="1" applyProtection="1">
      <alignment horizontal="center" vertical="center" shrinkToFit="1"/>
    </xf>
    <xf numFmtId="0" fontId="28" fillId="3" borderId="211" xfId="0" applyFont="1" applyFill="1" applyBorder="1" applyAlignment="1" applyProtection="1">
      <alignment horizontal="center" vertical="center" shrinkToFit="1"/>
    </xf>
    <xf numFmtId="0" fontId="28" fillId="3" borderId="212" xfId="0" applyFont="1" applyFill="1" applyBorder="1" applyAlignment="1" applyProtection="1">
      <alignment horizontal="center" vertical="center" shrinkToFit="1"/>
    </xf>
    <xf numFmtId="0" fontId="28" fillId="3" borderId="213" xfId="0" applyFont="1" applyFill="1" applyBorder="1" applyAlignment="1" applyProtection="1">
      <alignment horizontal="center" vertical="center" shrinkToFit="1"/>
    </xf>
    <xf numFmtId="0" fontId="10" fillId="3" borderId="3" xfId="1" applyFont="1" applyFill="1" applyBorder="1" applyAlignment="1" applyProtection="1">
      <alignment horizontal="center" vertical="center" wrapText="1" shrinkToFit="1"/>
    </xf>
    <xf numFmtId="0" fontId="10" fillId="3" borderId="1" xfId="1" applyFont="1" applyFill="1" applyBorder="1" applyAlignment="1" applyProtection="1">
      <alignment horizontal="center" vertical="center" wrapText="1" shrinkToFit="1"/>
    </xf>
    <xf numFmtId="0" fontId="10" fillId="3" borderId="76" xfId="1" applyFont="1" applyFill="1" applyBorder="1" applyAlignment="1" applyProtection="1">
      <alignment horizontal="center" vertical="center" wrapText="1" shrinkToFit="1"/>
    </xf>
    <xf numFmtId="0" fontId="10" fillId="3" borderId="72" xfId="1" applyFont="1" applyFill="1" applyBorder="1" applyAlignment="1" applyProtection="1">
      <alignment horizontal="center" vertical="center" wrapText="1" shrinkToFit="1"/>
    </xf>
    <xf numFmtId="0" fontId="10" fillId="3" borderId="111" xfId="1" applyFont="1" applyFill="1" applyBorder="1" applyAlignment="1" applyProtection="1">
      <alignment horizontal="center" vertical="center" wrapText="1" shrinkToFit="1"/>
    </xf>
    <xf numFmtId="0" fontId="28" fillId="3" borderId="291" xfId="0" applyFont="1" applyFill="1" applyBorder="1" applyAlignment="1" applyProtection="1">
      <alignment horizontal="center" vertical="center" wrapText="1"/>
    </xf>
    <xf numFmtId="0" fontId="28" fillId="3" borderId="292" xfId="0" applyFont="1" applyFill="1" applyBorder="1" applyAlignment="1" applyProtection="1">
      <alignment horizontal="center" vertical="center" wrapText="1"/>
    </xf>
    <xf numFmtId="0" fontId="28" fillId="3" borderId="150" xfId="0" applyFont="1" applyFill="1" applyBorder="1" applyAlignment="1" applyProtection="1">
      <alignment horizontal="center" vertical="center"/>
    </xf>
    <xf numFmtId="0" fontId="28" fillId="2" borderId="172" xfId="0" applyFont="1" applyFill="1" applyBorder="1" applyAlignment="1" applyProtection="1">
      <alignment horizontal="center" vertical="center"/>
    </xf>
    <xf numFmtId="0" fontId="28" fillId="2" borderId="173" xfId="0" applyFont="1" applyFill="1" applyBorder="1" applyAlignment="1" applyProtection="1">
      <alignment horizontal="center" vertical="center"/>
    </xf>
    <xf numFmtId="0" fontId="28" fillId="2" borderId="174" xfId="0" applyFont="1" applyFill="1" applyBorder="1" applyAlignment="1" applyProtection="1">
      <alignment horizontal="center" vertical="center"/>
    </xf>
    <xf numFmtId="0" fontId="28" fillId="2" borderId="175" xfId="0" applyFont="1" applyFill="1" applyBorder="1" applyAlignment="1" applyProtection="1">
      <alignment horizontal="center" vertical="center"/>
    </xf>
    <xf numFmtId="0" fontId="28" fillId="2" borderId="176" xfId="0" applyFont="1" applyFill="1" applyBorder="1" applyAlignment="1" applyProtection="1">
      <alignment horizontal="center" vertical="center"/>
    </xf>
    <xf numFmtId="0" fontId="28" fillId="2" borderId="177" xfId="0" applyFont="1" applyFill="1" applyBorder="1" applyAlignment="1" applyProtection="1">
      <alignment horizontal="center" vertical="center"/>
    </xf>
    <xf numFmtId="0" fontId="28" fillId="2" borderId="178" xfId="0" applyFont="1" applyFill="1" applyBorder="1" applyAlignment="1" applyProtection="1">
      <alignment horizontal="center" vertical="center"/>
    </xf>
    <xf numFmtId="0" fontId="28" fillId="2" borderId="179" xfId="0" applyFont="1" applyFill="1" applyBorder="1" applyAlignment="1" applyProtection="1">
      <alignment horizontal="center" vertical="center"/>
    </xf>
    <xf numFmtId="0" fontId="28" fillId="2" borderId="180" xfId="0" applyFont="1" applyFill="1" applyBorder="1" applyAlignment="1" applyProtection="1">
      <alignment horizontal="center" vertical="center"/>
    </xf>
    <xf numFmtId="0" fontId="28" fillId="2" borderId="258" xfId="0" applyFont="1" applyFill="1" applyBorder="1" applyAlignment="1" applyProtection="1">
      <alignment horizontal="center" vertical="center" wrapText="1" shrinkToFit="1"/>
    </xf>
    <xf numFmtId="0" fontId="28" fillId="2" borderId="257" xfId="0" applyFont="1" applyFill="1" applyBorder="1" applyAlignment="1" applyProtection="1">
      <alignment horizontal="center" vertical="center" wrapText="1" shrinkToFit="1"/>
    </xf>
    <xf numFmtId="0" fontId="28" fillId="3" borderId="468" xfId="0" applyFont="1" applyFill="1" applyBorder="1" applyAlignment="1" applyProtection="1">
      <alignment horizontal="center" vertical="center" wrapText="1"/>
    </xf>
    <xf numFmtId="0" fontId="28" fillId="3" borderId="469" xfId="0" applyFont="1" applyFill="1" applyBorder="1" applyAlignment="1" applyProtection="1">
      <alignment horizontal="center" vertical="center" wrapText="1"/>
    </xf>
    <xf numFmtId="0" fontId="28" fillId="3" borderId="471" xfId="0" applyFont="1" applyFill="1" applyBorder="1" applyAlignment="1" applyProtection="1">
      <alignment horizontal="center" vertical="center" wrapText="1"/>
    </xf>
    <xf numFmtId="0" fontId="28" fillId="3" borderId="447" xfId="0" applyFont="1" applyFill="1" applyBorder="1" applyAlignment="1" applyProtection="1">
      <alignment horizontal="center" vertical="center" wrapText="1"/>
    </xf>
    <xf numFmtId="0" fontId="28" fillId="3" borderId="340" xfId="0" applyFont="1" applyFill="1" applyBorder="1" applyAlignment="1" applyProtection="1">
      <alignment horizontal="center" vertical="center"/>
    </xf>
    <xf numFmtId="0" fontId="28" fillId="3" borderId="343" xfId="0" applyFont="1" applyFill="1" applyBorder="1" applyAlignment="1" applyProtection="1">
      <alignment horizontal="center" vertical="center"/>
    </xf>
    <xf numFmtId="0" fontId="47" fillId="0" borderId="57" xfId="0" applyFont="1" applyFill="1" applyBorder="1" applyAlignment="1" applyProtection="1">
      <alignment horizontal="center" vertical="center"/>
    </xf>
    <xf numFmtId="0" fontId="47" fillId="0" borderId="58" xfId="0" applyFont="1" applyFill="1" applyBorder="1" applyAlignment="1" applyProtection="1">
      <alignment horizontal="center" vertical="center"/>
    </xf>
    <xf numFmtId="0" fontId="47" fillId="0" borderId="419" xfId="0" applyFont="1" applyFill="1" applyBorder="1" applyAlignment="1" applyProtection="1">
      <alignment horizontal="center" vertical="center"/>
    </xf>
    <xf numFmtId="0" fontId="47" fillId="3" borderId="30" xfId="0" applyFont="1" applyFill="1" applyBorder="1" applyAlignment="1" applyProtection="1">
      <alignment horizontal="center" vertical="center" wrapText="1"/>
    </xf>
    <xf numFmtId="0" fontId="47" fillId="0" borderId="11" xfId="0" applyFont="1" applyFill="1" applyBorder="1" applyAlignment="1" applyProtection="1">
      <alignment horizontal="center" vertical="center"/>
    </xf>
    <xf numFmtId="0" fontId="47" fillId="0" borderId="30" xfId="0" applyFont="1" applyFill="1" applyBorder="1" applyAlignment="1" applyProtection="1">
      <alignment horizontal="center" vertical="center"/>
    </xf>
    <xf numFmtId="0" fontId="47" fillId="0" borderId="98" xfId="0" applyFont="1" applyFill="1" applyBorder="1" applyAlignment="1" applyProtection="1">
      <alignment horizontal="center" vertical="center"/>
    </xf>
    <xf numFmtId="0" fontId="47" fillId="0" borderId="95" xfId="0" applyFont="1" applyFill="1" applyBorder="1" applyAlignment="1" applyProtection="1">
      <alignment horizontal="center" vertical="center"/>
    </xf>
    <xf numFmtId="0" fontId="47" fillId="3" borderId="34" xfId="0" applyFont="1" applyFill="1" applyBorder="1" applyAlignment="1" applyProtection="1">
      <alignment horizontal="center" vertical="center" wrapText="1"/>
    </xf>
    <xf numFmtId="0" fontId="47" fillId="3" borderId="39" xfId="0" applyFont="1" applyFill="1" applyBorder="1" applyAlignment="1" applyProtection="1">
      <alignment horizontal="center" vertical="center" wrapText="1"/>
    </xf>
    <xf numFmtId="0" fontId="28" fillId="3" borderId="467" xfId="0" applyFont="1" applyFill="1" applyBorder="1" applyAlignment="1" applyProtection="1">
      <alignment horizontal="center" vertical="center" wrapText="1"/>
    </xf>
    <xf numFmtId="0" fontId="28" fillId="3" borderId="470" xfId="0" applyFont="1" applyFill="1" applyBorder="1" applyAlignment="1" applyProtection="1">
      <alignment horizontal="center" vertical="center" wrapText="1"/>
    </xf>
    <xf numFmtId="0" fontId="28" fillId="2" borderId="351" xfId="0" applyFont="1" applyFill="1" applyBorder="1" applyAlignment="1" applyProtection="1">
      <alignment horizontal="center" vertical="center" shrinkToFit="1"/>
    </xf>
    <xf numFmtId="0" fontId="28" fillId="2" borderId="288" xfId="0" applyFont="1" applyFill="1" applyBorder="1" applyAlignment="1" applyProtection="1">
      <alignment horizontal="center" vertical="center" shrinkToFit="1"/>
    </xf>
    <xf numFmtId="0" fontId="28" fillId="2" borderId="357" xfId="0" applyFont="1" applyFill="1" applyBorder="1" applyAlignment="1" applyProtection="1">
      <alignment horizontal="center" vertical="center" shrinkToFit="1"/>
    </xf>
    <xf numFmtId="0" fontId="28" fillId="6" borderId="367" xfId="0" applyFont="1" applyFill="1" applyBorder="1" applyAlignment="1" applyProtection="1">
      <alignment horizontal="center" vertical="center" shrinkToFit="1"/>
      <protection locked="0"/>
    </xf>
    <xf numFmtId="0" fontId="28" fillId="6" borderId="396" xfId="0" applyFont="1" applyFill="1" applyBorder="1" applyAlignment="1" applyProtection="1">
      <alignment horizontal="center" vertical="center" shrinkToFit="1"/>
      <protection locked="0"/>
    </xf>
    <xf numFmtId="0" fontId="28" fillId="6" borderId="368" xfId="0" applyFont="1" applyFill="1" applyBorder="1" applyAlignment="1" applyProtection="1">
      <alignment horizontal="center" vertical="center" shrinkToFit="1"/>
      <protection locked="0"/>
    </xf>
    <xf numFmtId="0" fontId="28" fillId="2" borderId="10" xfId="0" applyFont="1" applyFill="1" applyBorder="1" applyAlignment="1" applyProtection="1">
      <alignment horizontal="center" vertical="center" wrapText="1" shrinkToFit="1"/>
    </xf>
    <xf numFmtId="0" fontId="60" fillId="0" borderId="57" xfId="0" applyFont="1" applyFill="1" applyBorder="1" applyAlignment="1" applyProtection="1">
      <alignment horizontal="center" vertical="center" wrapText="1" shrinkToFit="1"/>
    </xf>
    <xf numFmtId="0" fontId="60" fillId="0" borderId="58" xfId="0" applyFont="1" applyFill="1" applyBorder="1" applyAlignment="1" applyProtection="1">
      <alignment horizontal="center" vertical="center" wrapText="1" shrinkToFit="1"/>
    </xf>
    <xf numFmtId="0" fontId="47" fillId="0" borderId="57" xfId="0" applyFont="1" applyFill="1" applyBorder="1" applyAlignment="1" applyProtection="1">
      <alignment horizontal="center" vertical="center" wrapText="1"/>
    </xf>
    <xf numFmtId="0" fontId="47" fillId="0" borderId="58" xfId="0" applyFont="1" applyFill="1" applyBorder="1" applyAlignment="1" applyProtection="1">
      <alignment horizontal="center" vertical="center" wrapText="1"/>
    </xf>
    <xf numFmtId="0" fontId="47" fillId="0" borderId="2" xfId="0" applyFont="1" applyFill="1" applyBorder="1" applyAlignment="1" applyProtection="1">
      <alignment horizontal="center" vertical="center" wrapText="1"/>
    </xf>
    <xf numFmtId="0" fontId="47" fillId="0" borderId="35" xfId="0" applyFont="1" applyFill="1" applyBorder="1" applyAlignment="1" applyProtection="1">
      <alignment horizontal="center" vertical="center"/>
    </xf>
    <xf numFmtId="0" fontId="47" fillId="0" borderId="47" xfId="0" applyFont="1" applyFill="1" applyBorder="1" applyAlignment="1" applyProtection="1">
      <alignment horizontal="center" vertical="center"/>
    </xf>
    <xf numFmtId="0" fontId="47" fillId="0" borderId="111" xfId="0" applyFont="1" applyFill="1" applyBorder="1" applyAlignment="1" applyProtection="1">
      <alignment horizontal="center" vertical="center"/>
    </xf>
    <xf numFmtId="0" fontId="60" fillId="0" borderId="36" xfId="0" applyFont="1" applyFill="1" applyBorder="1" applyAlignment="1" applyProtection="1">
      <alignment horizontal="center" vertical="center" wrapText="1"/>
    </xf>
    <xf numFmtId="0" fontId="47" fillId="0" borderId="6" xfId="0" applyFont="1" applyFill="1" applyBorder="1" applyAlignment="1" applyProtection="1">
      <alignment horizontal="center" vertical="center"/>
    </xf>
    <xf numFmtId="0" fontId="47" fillId="0" borderId="9" xfId="0" applyFont="1" applyFill="1" applyBorder="1" applyAlignment="1" applyProtection="1">
      <alignment horizontal="center" vertical="center"/>
    </xf>
    <xf numFmtId="0" fontId="47" fillId="0" borderId="40" xfId="0" applyFont="1" applyFill="1" applyBorder="1" applyAlignment="1" applyProtection="1">
      <alignment horizontal="center" vertical="center"/>
    </xf>
    <xf numFmtId="0" fontId="47" fillId="0" borderId="41" xfId="0" applyFont="1" applyFill="1" applyBorder="1" applyAlignment="1" applyProtection="1">
      <alignment horizontal="center" vertical="center"/>
    </xf>
    <xf numFmtId="0" fontId="47" fillId="0" borderId="42" xfId="0" applyFont="1" applyFill="1" applyBorder="1" applyAlignment="1" applyProtection="1">
      <alignment horizontal="center" vertical="center"/>
    </xf>
    <xf numFmtId="0" fontId="13" fillId="0" borderId="4" xfId="0" applyFont="1" applyFill="1" applyBorder="1" applyAlignment="1" applyProtection="1">
      <alignment horizontal="center" vertical="center" wrapText="1" shrinkToFit="1"/>
    </xf>
    <xf numFmtId="0" fontId="13" fillId="0" borderId="6" xfId="0" applyFont="1" applyFill="1" applyBorder="1" applyAlignment="1" applyProtection="1">
      <alignment horizontal="center" vertical="center" wrapText="1" shrinkToFit="1"/>
    </xf>
    <xf numFmtId="0" fontId="13" fillId="0" borderId="4" xfId="0" applyFont="1" applyFill="1" applyBorder="1" applyAlignment="1" applyProtection="1">
      <alignment horizontal="center" vertical="center" shrinkToFit="1"/>
    </xf>
    <xf numFmtId="0" fontId="13" fillId="0" borderId="6" xfId="0" applyFont="1" applyFill="1" applyBorder="1" applyAlignment="1" applyProtection="1">
      <alignment horizontal="center" vertical="center" shrinkToFit="1"/>
    </xf>
    <xf numFmtId="0" fontId="13" fillId="0" borderId="4" xfId="0" applyFont="1" applyFill="1" applyBorder="1" applyAlignment="1" applyProtection="1">
      <alignment horizontal="center" vertical="center"/>
    </xf>
    <xf numFmtId="0" fontId="13" fillId="0" borderId="16" xfId="0" applyFont="1" applyFill="1" applyBorder="1" applyAlignment="1" applyProtection="1">
      <alignment horizontal="center" vertical="center"/>
    </xf>
    <xf numFmtId="0" fontId="13" fillId="0" borderId="68" xfId="0" applyFont="1" applyFill="1" applyBorder="1" applyAlignment="1" applyProtection="1">
      <alignment horizontal="center" vertical="center"/>
    </xf>
    <xf numFmtId="0" fontId="13" fillId="0" borderId="47" xfId="0" applyFont="1" applyFill="1" applyBorder="1" applyAlignment="1" applyProtection="1">
      <alignment horizontal="center" vertical="center"/>
    </xf>
    <xf numFmtId="0" fontId="60" fillId="0" borderId="70" xfId="0" applyFont="1" applyFill="1" applyBorder="1" applyAlignment="1" applyProtection="1">
      <alignment horizontal="center" vertical="center" wrapText="1"/>
    </xf>
    <xf numFmtId="0" fontId="60" fillId="0" borderId="46" xfId="0" applyFont="1" applyFill="1" applyBorder="1" applyAlignment="1" applyProtection="1">
      <alignment horizontal="center" vertical="center" wrapText="1"/>
    </xf>
    <xf numFmtId="0" fontId="47" fillId="0" borderId="4" xfId="0" applyFont="1" applyFill="1" applyBorder="1" applyAlignment="1" applyProtection="1">
      <alignment horizontal="center" vertical="center" wrapText="1"/>
    </xf>
    <xf numFmtId="0" fontId="47" fillId="0" borderId="5" xfId="0" applyFont="1" applyFill="1" applyBorder="1" applyAlignment="1" applyProtection="1">
      <alignment horizontal="center" vertical="center" wrapText="1"/>
    </xf>
    <xf numFmtId="0" fontId="47" fillId="0" borderId="239" xfId="0" applyFont="1" applyFill="1" applyBorder="1" applyAlignment="1" applyProtection="1">
      <alignment horizontal="center" vertical="center" wrapText="1"/>
    </xf>
    <xf numFmtId="0" fontId="47" fillId="0" borderId="245" xfId="0" applyFont="1" applyFill="1" applyBorder="1" applyAlignment="1" applyProtection="1">
      <alignment horizontal="center" vertical="center" wrapText="1"/>
    </xf>
    <xf numFmtId="0" fontId="13" fillId="0" borderId="5" xfId="0" applyFont="1" applyFill="1" applyBorder="1" applyAlignment="1" applyProtection="1">
      <alignment horizontal="center" vertical="center" shrinkToFit="1"/>
    </xf>
    <xf numFmtId="0" fontId="13" fillId="0" borderId="28" xfId="0" applyFont="1" applyFill="1" applyBorder="1" applyAlignment="1" applyProtection="1">
      <alignment horizontal="center" vertical="center" shrinkToFit="1"/>
    </xf>
    <xf numFmtId="0" fontId="13" fillId="0" borderId="44" xfId="0" applyFont="1" applyFill="1" applyBorder="1" applyAlignment="1" applyProtection="1">
      <alignment horizontal="center" vertical="center"/>
    </xf>
    <xf numFmtId="0" fontId="13" fillId="0" borderId="45" xfId="0" applyFont="1" applyFill="1" applyBorder="1" applyAlignment="1" applyProtection="1">
      <alignment horizontal="center" vertical="center"/>
    </xf>
    <xf numFmtId="0" fontId="13" fillId="0" borderId="70" xfId="0" applyFont="1" applyFill="1" applyBorder="1" applyAlignment="1" applyProtection="1">
      <alignment horizontal="center" vertical="center"/>
    </xf>
    <xf numFmtId="0" fontId="10" fillId="0" borderId="17" xfId="0" applyFont="1" applyFill="1" applyBorder="1" applyAlignment="1" applyProtection="1">
      <alignment horizontal="center" vertical="center" shrinkToFit="1"/>
    </xf>
    <xf numFmtId="0" fontId="10" fillId="0" borderId="26" xfId="0" applyFont="1" applyFill="1" applyBorder="1" applyAlignment="1" applyProtection="1">
      <alignment horizontal="center" vertical="center" shrinkToFit="1"/>
    </xf>
    <xf numFmtId="0" fontId="10" fillId="0" borderId="4" xfId="0" applyFont="1" applyFill="1" applyBorder="1" applyAlignment="1" applyProtection="1">
      <alignment horizontal="center" vertical="center" shrinkToFit="1"/>
    </xf>
    <xf numFmtId="0" fontId="10" fillId="0" borderId="68" xfId="0" applyFont="1" applyFill="1" applyBorder="1" applyAlignment="1" applyProtection="1">
      <alignment horizontal="center" vertical="center" shrinkToFit="1"/>
    </xf>
    <xf numFmtId="0" fontId="39" fillId="0" borderId="51" xfId="0" applyFont="1" applyFill="1" applyBorder="1" applyAlignment="1" applyProtection="1">
      <alignment horizontal="center" vertical="center" wrapText="1"/>
    </xf>
    <xf numFmtId="0" fontId="39" fillId="0" borderId="49" xfId="0" applyFont="1" applyFill="1" applyBorder="1" applyAlignment="1" applyProtection="1">
      <alignment horizontal="center" vertical="center" wrapText="1"/>
    </xf>
    <xf numFmtId="0" fontId="39" fillId="0" borderId="53" xfId="0" applyFont="1" applyFill="1" applyBorder="1" applyAlignment="1" applyProtection="1">
      <alignment horizontal="center" vertical="center" wrapText="1"/>
    </xf>
    <xf numFmtId="0" fontId="39" fillId="0" borderId="72" xfId="0" applyFont="1" applyFill="1" applyBorder="1" applyAlignment="1" applyProtection="1">
      <alignment horizontal="center" vertical="center" wrapText="1"/>
    </xf>
    <xf numFmtId="0" fontId="39" fillId="0" borderId="50" xfId="0" applyFont="1" applyFill="1" applyBorder="1" applyAlignment="1" applyProtection="1">
      <alignment horizontal="center" vertical="center" wrapText="1"/>
    </xf>
    <xf numFmtId="0" fontId="39" fillId="0" borderId="111" xfId="0" applyFont="1" applyFill="1" applyBorder="1" applyAlignment="1" applyProtection="1">
      <alignment horizontal="center" vertical="center" wrapText="1"/>
    </xf>
    <xf numFmtId="0" fontId="62" fillId="0" borderId="57" xfId="0" applyFont="1" applyFill="1" applyBorder="1" applyAlignment="1" applyProtection="1">
      <alignment horizontal="center" vertical="center" wrapText="1"/>
    </xf>
    <xf numFmtId="0" fontId="62" fillId="0" borderId="58" xfId="0" applyFont="1" applyFill="1" applyBorder="1" applyAlignment="1" applyProtection="1">
      <alignment horizontal="center" vertical="center" wrapText="1"/>
    </xf>
    <xf numFmtId="0" fontId="62" fillId="0" borderId="2" xfId="0" applyFont="1" applyFill="1" applyBorder="1" applyAlignment="1" applyProtection="1">
      <alignment horizontal="center" vertical="center" wrapText="1"/>
    </xf>
    <xf numFmtId="0" fontId="10" fillId="0" borderId="378" xfId="0" applyFont="1" applyFill="1" applyBorder="1" applyAlignment="1" applyProtection="1">
      <alignment horizontal="center" vertical="center" wrapText="1"/>
    </xf>
    <xf numFmtId="0" fontId="10" fillId="0" borderId="379" xfId="0" applyFont="1" applyFill="1" applyBorder="1" applyAlignment="1" applyProtection="1">
      <alignment horizontal="center" vertical="center" wrapText="1"/>
    </xf>
    <xf numFmtId="0" fontId="10" fillId="0" borderId="380" xfId="0" applyFont="1" applyFill="1" applyBorder="1" applyAlignment="1" applyProtection="1">
      <alignment horizontal="center" vertical="center" wrapText="1"/>
    </xf>
    <xf numFmtId="0" fontId="10" fillId="0" borderId="29" xfId="0" applyFont="1" applyFill="1" applyBorder="1" applyAlignment="1" applyProtection="1">
      <alignment horizontal="center" vertical="center" wrapText="1"/>
    </xf>
    <xf numFmtId="0" fontId="10" fillId="0" borderId="35" xfId="0" applyFont="1" applyFill="1" applyBorder="1" applyAlignment="1" applyProtection="1">
      <alignment horizontal="center" vertical="center" wrapText="1"/>
    </xf>
    <xf numFmtId="0" fontId="10" fillId="0" borderId="21" xfId="0" applyFont="1" applyFill="1" applyBorder="1" applyAlignment="1" applyProtection="1">
      <alignment horizontal="center" vertical="center" wrapText="1"/>
    </xf>
    <xf numFmtId="0" fontId="10" fillId="0" borderId="0" xfId="0" applyFont="1" applyFill="1" applyBorder="1" applyAlignment="1" applyProtection="1">
      <alignment horizontal="center" vertical="center" wrapText="1"/>
    </xf>
    <xf numFmtId="0" fontId="10" fillId="0" borderId="55" xfId="0" applyFont="1" applyFill="1" applyBorder="1" applyAlignment="1" applyProtection="1">
      <alignment horizontal="center" vertical="center" wrapText="1"/>
    </xf>
    <xf numFmtId="0" fontId="10" fillId="0" borderId="38" xfId="0" applyFont="1" applyFill="1" applyBorder="1" applyAlignment="1" applyProtection="1">
      <alignment horizontal="center" vertical="center" wrapText="1"/>
    </xf>
    <xf numFmtId="0" fontId="40" fillId="0" borderId="11" xfId="0" applyFont="1" applyFill="1" applyBorder="1" applyAlignment="1" applyProtection="1">
      <alignment horizontal="center" vertical="center" wrapText="1"/>
    </xf>
    <xf numFmtId="0" fontId="40" fillId="0" borderId="30" xfId="0" applyFont="1" applyFill="1" applyBorder="1" applyAlignment="1" applyProtection="1">
      <alignment horizontal="center" vertical="center" wrapText="1"/>
    </xf>
    <xf numFmtId="0" fontId="40" fillId="0" borderId="36" xfId="0" applyFont="1" applyFill="1" applyBorder="1" applyAlignment="1" applyProtection="1">
      <alignment horizontal="center" vertical="center" wrapText="1"/>
    </xf>
    <xf numFmtId="0" fontId="40" fillId="0" borderId="34" xfId="0" applyFont="1" applyFill="1" applyBorder="1" applyAlignment="1" applyProtection="1">
      <alignment horizontal="center" vertical="center" wrapText="1"/>
    </xf>
    <xf numFmtId="0" fontId="40" fillId="0" borderId="37" xfId="0" applyFont="1" applyFill="1" applyBorder="1" applyAlignment="1" applyProtection="1">
      <alignment horizontal="center" vertical="center" wrapText="1"/>
    </xf>
    <xf numFmtId="0" fontId="40" fillId="0" borderId="39" xfId="0" applyFont="1" applyFill="1" applyBorder="1" applyAlignment="1" applyProtection="1">
      <alignment horizontal="center" vertical="center" wrapText="1"/>
    </xf>
    <xf numFmtId="0" fontId="13" fillId="0" borderId="57" xfId="0" applyFont="1" applyFill="1" applyBorder="1" applyAlignment="1" applyProtection="1">
      <alignment horizontal="center" vertical="center" wrapText="1" shrinkToFit="1"/>
    </xf>
    <xf numFmtId="0" fontId="13" fillId="0" borderId="58" xfId="0" applyFont="1" applyFill="1" applyBorder="1" applyAlignment="1" applyProtection="1">
      <alignment horizontal="center" vertical="center" wrapText="1" shrinkToFit="1"/>
    </xf>
    <xf numFmtId="0" fontId="13" fillId="0" borderId="2" xfId="0" applyFont="1" applyFill="1" applyBorder="1" applyAlignment="1" applyProtection="1">
      <alignment horizontal="center" vertical="center" wrapText="1" shrinkToFit="1"/>
    </xf>
    <xf numFmtId="0" fontId="61" fillId="0" borderId="161" xfId="0" applyFont="1" applyFill="1" applyBorder="1" applyAlignment="1" applyProtection="1">
      <alignment horizontal="center" vertical="center" wrapText="1" shrinkToFit="1"/>
    </xf>
    <xf numFmtId="0" fontId="61" fillId="0" borderId="162" xfId="0" applyFont="1" applyFill="1" applyBorder="1" applyAlignment="1" applyProtection="1">
      <alignment horizontal="center" vertical="center" wrapText="1" shrinkToFit="1"/>
    </xf>
    <xf numFmtId="0" fontId="61" fillId="0" borderId="282" xfId="0" applyFont="1" applyFill="1" applyBorder="1" applyAlignment="1" applyProtection="1">
      <alignment horizontal="center" vertical="center" wrapText="1" shrinkToFit="1"/>
    </xf>
    <xf numFmtId="0" fontId="13" fillId="0" borderId="376" xfId="0" applyFont="1" applyFill="1" applyBorder="1" applyAlignment="1" applyProtection="1">
      <alignment horizontal="center" vertical="center" wrapText="1"/>
    </xf>
    <xf numFmtId="0" fontId="13" fillId="0" borderId="287" xfId="0" applyFont="1" applyFill="1" applyBorder="1" applyAlignment="1" applyProtection="1">
      <alignment horizontal="center" vertical="center" wrapText="1"/>
    </xf>
    <xf numFmtId="0" fontId="13" fillId="0" borderId="377" xfId="0" applyFont="1" applyFill="1" applyBorder="1" applyAlignment="1" applyProtection="1">
      <alignment horizontal="center" vertical="center" wrapText="1"/>
    </xf>
    <xf numFmtId="0" fontId="13" fillId="0" borderId="3" xfId="0" applyFont="1" applyFill="1" applyBorder="1" applyAlignment="1" applyProtection="1">
      <alignment horizontal="center" vertical="center"/>
    </xf>
    <xf numFmtId="0" fontId="13" fillId="0" borderId="44" xfId="0" applyFont="1" applyFill="1" applyBorder="1" applyAlignment="1" applyProtection="1">
      <alignment horizontal="center" vertical="center" wrapText="1"/>
    </xf>
    <xf numFmtId="0" fontId="13" fillId="0" borderId="3" xfId="0" applyFont="1" applyFill="1" applyBorder="1" applyAlignment="1" applyProtection="1">
      <alignment horizontal="center" vertical="center" wrapText="1"/>
    </xf>
    <xf numFmtId="0" fontId="13" fillId="0" borderId="45" xfId="0" applyFont="1" applyFill="1" applyBorder="1" applyAlignment="1" applyProtection="1">
      <alignment horizontal="center" vertical="center" wrapText="1"/>
    </xf>
    <xf numFmtId="0" fontId="61" fillId="0" borderId="70" xfId="0" applyFont="1" applyFill="1" applyBorder="1" applyAlignment="1" applyProtection="1">
      <alignment horizontal="center" vertical="center" wrapText="1" shrinkToFit="1"/>
    </xf>
    <xf numFmtId="0" fontId="61" fillId="0" borderId="46" xfId="0" applyFont="1" applyFill="1" applyBorder="1" applyAlignment="1" applyProtection="1">
      <alignment horizontal="center" vertical="center" wrapText="1" shrinkToFit="1"/>
    </xf>
    <xf numFmtId="0" fontId="13" fillId="0" borderId="6" xfId="0" applyFont="1" applyFill="1" applyBorder="1" applyAlignment="1" applyProtection="1">
      <alignment horizontal="center" vertical="center"/>
    </xf>
    <xf numFmtId="0" fontId="10" fillId="0" borderId="28" xfId="0" applyFont="1" applyFill="1" applyBorder="1" applyAlignment="1" applyProtection="1">
      <alignment horizontal="center" vertical="center" shrinkToFit="1"/>
    </xf>
    <xf numFmtId="0" fontId="10" fillId="0" borderId="436" xfId="0" applyFont="1" applyFill="1" applyBorder="1" applyAlignment="1" applyProtection="1">
      <alignment horizontal="center" vertical="center" shrinkToFit="1"/>
    </xf>
    <xf numFmtId="0" fontId="28" fillId="0" borderId="98" xfId="0" applyFont="1" applyFill="1" applyBorder="1" applyAlignment="1" applyProtection="1">
      <alignment horizontal="center" vertical="center" shrinkToFit="1"/>
    </xf>
    <xf numFmtId="0" fontId="28" fillId="0" borderId="10" xfId="0" applyFont="1" applyFill="1" applyBorder="1" applyAlignment="1" applyProtection="1">
      <alignment horizontal="center" vertical="center" shrinkToFit="1"/>
    </xf>
    <xf numFmtId="0" fontId="28" fillId="0" borderId="95" xfId="0" applyFont="1" applyFill="1" applyBorder="1" applyAlignment="1" applyProtection="1">
      <alignment horizontal="center" vertical="center" shrinkToFit="1"/>
    </xf>
    <xf numFmtId="0" fontId="44" fillId="0" borderId="98" xfId="0" applyFont="1" applyFill="1" applyBorder="1" applyAlignment="1" applyProtection="1">
      <alignment horizontal="center" vertical="center" shrinkToFit="1"/>
    </xf>
    <xf numFmtId="0" fontId="28" fillId="0" borderId="47" xfId="0" applyFont="1" applyFill="1" applyBorder="1" applyAlignment="1" applyProtection="1">
      <alignment horizontal="center" vertical="center" wrapText="1" shrinkToFit="1"/>
    </xf>
    <xf numFmtId="0" fontId="28" fillId="0" borderId="50" xfId="0" applyFont="1" applyFill="1" applyBorder="1" applyAlignment="1" applyProtection="1">
      <alignment horizontal="center" vertical="center" wrapText="1" shrinkToFit="1"/>
    </xf>
    <xf numFmtId="0" fontId="28" fillId="0" borderId="73" xfId="0" applyFont="1" applyFill="1" applyBorder="1" applyAlignment="1" applyProtection="1">
      <alignment horizontal="center" vertical="center" wrapText="1" shrinkToFit="1"/>
    </xf>
    <xf numFmtId="0" fontId="28" fillId="0" borderId="19" xfId="0" applyFont="1" applyFill="1" applyBorder="1" applyAlignment="1" applyProtection="1">
      <alignment horizontal="center" vertical="center" wrapText="1" shrinkToFit="1"/>
    </xf>
    <xf numFmtId="0" fontId="28" fillId="0" borderId="21" xfId="0" applyFont="1" applyFill="1" applyBorder="1" applyAlignment="1" applyProtection="1">
      <alignment horizontal="center" vertical="center" wrapText="1" shrinkToFit="1"/>
    </xf>
    <xf numFmtId="0" fontId="28" fillId="0" borderId="33" xfId="0" applyFont="1" applyFill="1" applyBorder="1" applyAlignment="1" applyProtection="1">
      <alignment horizontal="center" vertical="center" wrapText="1" shrinkToFit="1"/>
    </xf>
    <xf numFmtId="0" fontId="51" fillId="2" borderId="0" xfId="0" applyFont="1" applyFill="1" applyAlignment="1" applyProtection="1">
      <alignment horizontal="center" vertical="center"/>
    </xf>
    <xf numFmtId="0" fontId="47" fillId="0" borderId="10" xfId="0" applyFont="1" applyFill="1" applyBorder="1" applyAlignment="1" applyProtection="1">
      <alignment horizontal="center" vertical="center"/>
    </xf>
    <xf numFmtId="0" fontId="47" fillId="0" borderId="11" xfId="0" applyFont="1" applyFill="1" applyBorder="1" applyAlignment="1" applyProtection="1">
      <alignment horizontal="center" vertical="center" wrapText="1"/>
    </xf>
    <xf numFmtId="0" fontId="47" fillId="0" borderId="35" xfId="0" applyFont="1" applyFill="1" applyBorder="1" applyAlignment="1" applyProtection="1">
      <alignment horizontal="center" vertical="center" wrapText="1"/>
    </xf>
    <xf numFmtId="0" fontId="47" fillId="0" borderId="30" xfId="0" applyFont="1" applyFill="1" applyBorder="1" applyAlignment="1" applyProtection="1">
      <alignment horizontal="center" vertical="center" wrapText="1"/>
    </xf>
    <xf numFmtId="0" fontId="47" fillId="0" borderId="68" xfId="0" applyFont="1" applyFill="1" applyBorder="1" applyAlignment="1" applyProtection="1">
      <alignment horizontal="center" vertical="center" wrapText="1"/>
    </xf>
    <xf numFmtId="0" fontId="47" fillId="0" borderId="69" xfId="0" applyFont="1" applyFill="1" applyBorder="1" applyAlignment="1" applyProtection="1">
      <alignment horizontal="center" vertical="center" wrapText="1"/>
    </xf>
    <xf numFmtId="0" fontId="47" fillId="2" borderId="184" xfId="0" applyFont="1" applyFill="1" applyBorder="1" applyAlignment="1" applyProtection="1">
      <alignment horizontal="center" vertical="center" shrinkToFit="1"/>
    </xf>
    <xf numFmtId="0" fontId="47" fillId="2" borderId="15" xfId="0" applyFont="1" applyFill="1" applyBorder="1" applyAlignment="1" applyProtection="1">
      <alignment horizontal="center" vertical="center" shrinkToFit="1"/>
    </xf>
    <xf numFmtId="0" fontId="28" fillId="6" borderId="349" xfId="0" applyFont="1" applyFill="1" applyBorder="1" applyAlignment="1" applyProtection="1">
      <alignment horizontal="center" vertical="center" shrinkToFit="1"/>
      <protection locked="0"/>
    </xf>
    <xf numFmtId="0" fontId="28" fillId="6" borderId="400" xfId="0" applyFont="1" applyFill="1" applyBorder="1" applyAlignment="1" applyProtection="1">
      <alignment horizontal="center" vertical="center" shrinkToFit="1"/>
      <protection locked="0"/>
    </xf>
    <xf numFmtId="0" fontId="28" fillId="6" borderId="394" xfId="0" applyFont="1" applyFill="1" applyBorder="1" applyAlignment="1" applyProtection="1">
      <alignment horizontal="center" vertical="center" shrinkToFit="1"/>
      <protection locked="0"/>
    </xf>
    <xf numFmtId="0" fontId="28" fillId="6" borderId="510" xfId="0" applyFont="1" applyFill="1" applyBorder="1" applyAlignment="1" applyProtection="1">
      <alignment horizontal="center" vertical="center" shrinkToFit="1"/>
      <protection locked="0"/>
    </xf>
    <xf numFmtId="0" fontId="28" fillId="6" borderId="511" xfId="0" applyFont="1" applyFill="1" applyBorder="1" applyAlignment="1" applyProtection="1">
      <alignment horizontal="center" vertical="center" shrinkToFit="1"/>
      <protection locked="0"/>
    </xf>
    <xf numFmtId="0" fontId="28" fillId="6" borderId="512" xfId="0" applyFont="1" applyFill="1" applyBorder="1" applyAlignment="1" applyProtection="1">
      <alignment horizontal="center" vertical="center" shrinkToFit="1"/>
      <protection locked="0"/>
    </xf>
    <xf numFmtId="0" fontId="47" fillId="0" borderId="6" xfId="0" applyFont="1" applyFill="1" applyBorder="1" applyAlignment="1" applyProtection="1">
      <alignment horizontal="center" vertical="center" wrapText="1" shrinkToFit="1"/>
    </xf>
    <xf numFmtId="0" fontId="47" fillId="0" borderId="76" xfId="0" applyFont="1" applyFill="1" applyBorder="1" applyAlignment="1" applyProtection="1">
      <alignment horizontal="center" vertical="center" wrapText="1" shrinkToFit="1"/>
    </xf>
    <xf numFmtId="0" fontId="47" fillId="0" borderId="17" xfId="0" applyFont="1" applyFill="1" applyBorder="1" applyAlignment="1" applyProtection="1">
      <alignment horizontal="center" vertical="center" shrinkToFit="1"/>
    </xf>
    <xf numFmtId="0" fontId="47" fillId="0" borderId="18" xfId="0" applyFont="1" applyFill="1" applyBorder="1" applyAlignment="1" applyProtection="1">
      <alignment horizontal="center" vertical="center" shrinkToFit="1"/>
    </xf>
    <xf numFmtId="0" fontId="47" fillId="0" borderId="32" xfId="0" applyFont="1" applyFill="1" applyBorder="1" applyAlignment="1" applyProtection="1">
      <alignment horizontal="center" vertical="center" shrinkToFit="1"/>
    </xf>
    <xf numFmtId="0" fontId="47" fillId="0" borderId="113" xfId="0" applyFont="1" applyFill="1" applyBorder="1" applyAlignment="1" applyProtection="1">
      <alignment horizontal="center" vertical="center"/>
    </xf>
    <xf numFmtId="176" fontId="10" fillId="2" borderId="1" xfId="1" applyNumberFormat="1" applyFont="1" applyFill="1" applyBorder="1" applyAlignment="1" applyProtection="1">
      <alignment horizontal="center" vertical="center" shrinkToFit="1"/>
    </xf>
    <xf numFmtId="176" fontId="10" fillId="2" borderId="9" xfId="1" applyNumberFormat="1" applyFont="1" applyFill="1" applyBorder="1" applyAlignment="1" applyProtection="1">
      <alignment horizontal="center" vertical="center" shrinkToFit="1"/>
    </xf>
    <xf numFmtId="176" fontId="10" fillId="2" borderId="8" xfId="1" applyNumberFormat="1" applyFont="1" applyFill="1" applyBorder="1" applyAlignment="1" applyProtection="1">
      <alignment horizontal="center" vertical="center" shrinkToFit="1"/>
    </xf>
    <xf numFmtId="0" fontId="28" fillId="3" borderId="11" xfId="0" applyFont="1" applyFill="1" applyBorder="1" applyAlignment="1" applyProtection="1">
      <alignment horizontal="center" vertical="center" shrinkToFit="1"/>
    </xf>
    <xf numFmtId="0" fontId="28" fillId="3" borderId="37" xfId="0" applyFont="1" applyFill="1" applyBorder="1" applyAlignment="1" applyProtection="1">
      <alignment horizontal="center" vertical="center" shrinkToFit="1"/>
    </xf>
    <xf numFmtId="0" fontId="28" fillId="3" borderId="51" xfId="0" applyFont="1" applyFill="1" applyBorder="1" applyAlignment="1" applyProtection="1">
      <alignment horizontal="center" vertical="center" shrinkToFit="1"/>
    </xf>
    <xf numFmtId="0" fontId="28" fillId="3" borderId="53" xfId="0" applyFont="1" applyFill="1" applyBorder="1" applyAlignment="1" applyProtection="1">
      <alignment horizontal="center" vertical="center" shrinkToFit="1"/>
    </xf>
    <xf numFmtId="0" fontId="28" fillId="2" borderId="62" xfId="0" applyFont="1" applyFill="1" applyBorder="1" applyAlignment="1" applyProtection="1">
      <alignment horizontal="center" vertical="center"/>
    </xf>
    <xf numFmtId="0" fontId="28" fillId="0" borderId="62" xfId="0" applyFont="1" applyFill="1" applyBorder="1" applyAlignment="1" applyProtection="1">
      <alignment horizontal="center" vertical="center"/>
    </xf>
    <xf numFmtId="0" fontId="28" fillId="2" borderId="433" xfId="0" applyFont="1" applyFill="1" applyBorder="1" applyAlignment="1" applyProtection="1">
      <alignment horizontal="center" vertical="center"/>
    </xf>
    <xf numFmtId="0" fontId="28" fillId="2" borderId="434" xfId="0" applyFont="1" applyFill="1" applyBorder="1" applyAlignment="1" applyProtection="1">
      <alignment horizontal="center" vertical="center"/>
    </xf>
    <xf numFmtId="0" fontId="28" fillId="3" borderId="29" xfId="0" applyFont="1" applyFill="1" applyBorder="1" applyAlignment="1" applyProtection="1">
      <alignment horizontal="center" vertical="center" shrinkToFit="1"/>
    </xf>
    <xf numFmtId="0" fontId="28" fillId="3" borderId="35" xfId="0" applyFont="1" applyFill="1" applyBorder="1" applyAlignment="1" applyProtection="1">
      <alignment horizontal="center" vertical="center" shrinkToFit="1"/>
    </xf>
    <xf numFmtId="0" fontId="28" fillId="3" borderId="27" xfId="0" applyFont="1" applyFill="1" applyBorder="1" applyAlignment="1" applyProtection="1">
      <alignment horizontal="center" vertical="center" shrinkToFit="1"/>
    </xf>
    <xf numFmtId="0" fontId="28" fillId="3" borderId="52" xfId="0" applyFont="1" applyFill="1" applyBorder="1" applyAlignment="1" applyProtection="1">
      <alignment horizontal="center" vertical="center" shrinkToFit="1"/>
    </xf>
    <xf numFmtId="196" fontId="10" fillId="2" borderId="4" xfId="1" applyNumberFormat="1" applyFont="1" applyFill="1" applyBorder="1" applyAlignment="1" applyProtection="1">
      <alignment horizontal="center" vertical="center" shrinkToFit="1"/>
    </xf>
    <xf numFmtId="0" fontId="28" fillId="2" borderId="1" xfId="0" applyFont="1" applyFill="1" applyBorder="1" applyAlignment="1" applyProtection="1">
      <alignment horizontal="center" vertical="center"/>
    </xf>
    <xf numFmtId="0" fontId="28" fillId="2" borderId="9" xfId="0" applyFont="1" applyFill="1" applyBorder="1" applyAlignment="1" applyProtection="1">
      <alignment horizontal="center" vertical="center"/>
    </xf>
    <xf numFmtId="0" fontId="28" fillId="2" borderId="6" xfId="0" applyFont="1" applyFill="1" applyBorder="1" applyAlignment="1" applyProtection="1">
      <alignment horizontal="center" vertical="center"/>
    </xf>
    <xf numFmtId="0" fontId="28" fillId="2" borderId="8" xfId="0" applyFont="1" applyFill="1" applyBorder="1" applyAlignment="1" applyProtection="1">
      <alignment horizontal="center" vertical="center"/>
    </xf>
    <xf numFmtId="2" fontId="47" fillId="2" borderId="29" xfId="0" applyNumberFormat="1" applyFont="1" applyFill="1" applyBorder="1" applyAlignment="1" applyProtection="1">
      <alignment horizontal="center" vertical="center" shrinkToFit="1"/>
    </xf>
    <xf numFmtId="2" fontId="47" fillId="2" borderId="12" xfId="0" applyNumberFormat="1" applyFont="1" applyFill="1" applyBorder="1" applyAlignment="1" applyProtection="1">
      <alignment horizontal="center" vertical="center" shrinkToFit="1"/>
    </xf>
    <xf numFmtId="2" fontId="47" fillId="2" borderId="21" xfId="0" applyNumberFormat="1" applyFont="1" applyFill="1" applyBorder="1" applyAlignment="1" applyProtection="1">
      <alignment horizontal="center" vertical="center" shrinkToFit="1"/>
    </xf>
    <xf numFmtId="2" fontId="47" fillId="2" borderId="15" xfId="0" applyNumberFormat="1" applyFont="1" applyFill="1" applyBorder="1" applyAlignment="1" applyProtection="1">
      <alignment horizontal="center" vertical="center" shrinkToFit="1"/>
    </xf>
    <xf numFmtId="0" fontId="28" fillId="6" borderId="363" xfId="0" applyFont="1" applyFill="1" applyBorder="1" applyAlignment="1" applyProtection="1">
      <alignment horizontal="center" vertical="center" shrinkToFit="1"/>
    </xf>
    <xf numFmtId="0" fontId="28" fillId="6" borderId="66" xfId="0" applyFont="1" applyFill="1" applyBorder="1" applyAlignment="1" applyProtection="1">
      <alignment horizontal="center" vertical="center" shrinkToFit="1"/>
    </xf>
    <xf numFmtId="0" fontId="28" fillId="2" borderId="418" xfId="0" applyFont="1" applyFill="1" applyBorder="1" applyAlignment="1" applyProtection="1">
      <alignment horizontal="left" vertical="center" shrinkToFit="1"/>
    </xf>
    <xf numFmtId="0" fontId="28" fillId="2" borderId="60" xfId="0" applyFont="1" applyFill="1" applyBorder="1" applyAlignment="1" applyProtection="1">
      <alignment horizontal="left" vertical="center" shrinkToFit="1"/>
    </xf>
    <xf numFmtId="0" fontId="28" fillId="2" borderId="417" xfId="0" applyFont="1" applyFill="1" applyBorder="1" applyAlignment="1" applyProtection="1">
      <alignment horizontal="left" vertical="center" shrinkToFit="1"/>
    </xf>
    <xf numFmtId="0" fontId="28" fillId="2" borderId="492" xfId="0" applyFont="1" applyFill="1" applyBorder="1" applyAlignment="1" applyProtection="1">
      <alignment horizontal="center" vertical="center" shrinkToFit="1"/>
    </xf>
    <xf numFmtId="0" fontId="28" fillId="2" borderId="510" xfId="0" applyFont="1" applyFill="1" applyBorder="1" applyAlignment="1" applyProtection="1">
      <alignment horizontal="center" vertical="center" shrinkToFit="1"/>
    </xf>
    <xf numFmtId="0" fontId="28" fillId="2" borderId="368" xfId="0" applyFont="1" applyFill="1" applyBorder="1" applyAlignment="1">
      <alignment horizontal="left" vertical="center" shrinkToFit="1"/>
    </xf>
    <xf numFmtId="0" fontId="28" fillId="2" borderId="183" xfId="0" applyFont="1" applyFill="1" applyBorder="1" applyAlignment="1">
      <alignment horizontal="left" vertical="center" shrinkToFit="1"/>
    </xf>
    <xf numFmtId="0" fontId="28" fillId="2" borderId="128" xfId="0" applyFont="1" applyFill="1" applyBorder="1" applyAlignment="1">
      <alignment horizontal="left" vertical="center" shrinkToFit="1"/>
    </xf>
    <xf numFmtId="0" fontId="28" fillId="2" borderId="0" xfId="0" applyFont="1" applyFill="1" applyAlignment="1">
      <alignment horizontal="left" vertical="center" shrinkToFit="1"/>
    </xf>
    <xf numFmtId="0" fontId="28" fillId="2" borderId="365" xfId="0" applyFont="1" applyFill="1" applyBorder="1" applyAlignment="1" applyProtection="1">
      <alignment horizontal="center" vertical="center" wrapText="1" shrinkToFit="1"/>
    </xf>
    <xf numFmtId="0" fontId="28" fillId="2" borderId="177" xfId="0" applyFont="1" applyFill="1" applyBorder="1" applyAlignment="1" applyProtection="1">
      <alignment horizontal="center" vertical="center" wrapText="1" shrinkToFit="1"/>
    </xf>
    <xf numFmtId="0" fontId="47" fillId="2" borderId="449" xfId="0" applyFont="1" applyFill="1" applyBorder="1" applyAlignment="1" applyProtection="1">
      <alignment horizontal="center" vertical="center" shrinkToFit="1"/>
    </xf>
    <xf numFmtId="0" fontId="47" fillId="2" borderId="450" xfId="0" applyFont="1" applyFill="1" applyBorder="1" applyAlignment="1" applyProtection="1">
      <alignment horizontal="center" vertical="center" shrinkToFit="1"/>
    </xf>
    <xf numFmtId="0" fontId="28" fillId="2" borderId="284" xfId="0" applyFont="1" applyFill="1" applyBorder="1" applyAlignment="1" applyProtection="1">
      <alignment horizontal="center" vertical="center" shrinkToFit="1"/>
    </xf>
    <xf numFmtId="0" fontId="28" fillId="6" borderId="210" xfId="0" applyFont="1" applyFill="1" applyBorder="1" applyAlignment="1" applyProtection="1">
      <alignment horizontal="center" vertical="center" shrinkToFit="1"/>
      <protection locked="0"/>
    </xf>
    <xf numFmtId="0" fontId="28" fillId="6" borderId="272" xfId="0" applyFont="1" applyFill="1" applyBorder="1" applyAlignment="1" applyProtection="1">
      <alignment horizontal="center" vertical="center" shrinkToFit="1"/>
      <protection locked="0"/>
    </xf>
    <xf numFmtId="0" fontId="28" fillId="6" borderId="128" xfId="0" applyFont="1" applyFill="1" applyBorder="1" applyAlignment="1" applyProtection="1">
      <alignment horizontal="center" vertical="center" shrinkToFit="1"/>
      <protection locked="0"/>
    </xf>
    <xf numFmtId="210" fontId="10" fillId="2" borderId="353" xfId="1" applyNumberFormat="1" applyFont="1" applyFill="1" applyBorder="1" applyAlignment="1" applyProtection="1">
      <alignment horizontal="center" vertical="center" shrinkToFit="1"/>
    </xf>
    <xf numFmtId="210" fontId="10" fillId="2" borderId="206" xfId="1" applyNumberFormat="1" applyFont="1" applyFill="1" applyBorder="1" applyAlignment="1" applyProtection="1">
      <alignment horizontal="center" vertical="center" shrinkToFit="1"/>
    </xf>
    <xf numFmtId="2" fontId="28" fillId="2" borderId="182" xfId="0" applyNumberFormat="1" applyFont="1" applyFill="1" applyBorder="1" applyAlignment="1" applyProtection="1">
      <alignment horizontal="center" vertical="center" shrinkToFit="1"/>
    </xf>
    <xf numFmtId="0" fontId="28" fillId="2" borderId="55" xfId="0" applyFont="1" applyFill="1" applyBorder="1" applyAlignment="1" applyProtection="1">
      <alignment horizontal="center" vertical="center" shrinkToFit="1"/>
    </xf>
    <xf numFmtId="0" fontId="28" fillId="2" borderId="113" xfId="0" applyFont="1" applyFill="1" applyBorder="1" applyAlignment="1" applyProtection="1">
      <alignment horizontal="center" vertical="center" shrinkToFit="1"/>
    </xf>
    <xf numFmtId="0" fontId="28" fillId="2" borderId="374" xfId="0" applyFont="1" applyFill="1" applyBorder="1" applyAlignment="1" applyProtection="1">
      <alignment horizontal="left" vertical="center" wrapText="1"/>
    </xf>
    <xf numFmtId="0" fontId="28" fillId="2" borderId="348" xfId="0" applyFont="1" applyFill="1" applyBorder="1" applyAlignment="1" applyProtection="1">
      <alignment horizontal="left" vertical="center" wrapText="1"/>
    </xf>
    <xf numFmtId="0" fontId="28" fillId="2" borderId="409" xfId="0" applyFont="1" applyFill="1" applyBorder="1" applyAlignment="1" applyProtection="1">
      <alignment horizontal="center" vertical="center" shrinkToFit="1"/>
    </xf>
    <xf numFmtId="0" fontId="28" fillId="2" borderId="308" xfId="0" applyFont="1" applyFill="1" applyBorder="1" applyAlignment="1" applyProtection="1">
      <alignment horizontal="center" vertical="center" shrinkToFit="1"/>
    </xf>
    <xf numFmtId="0" fontId="28" fillId="2" borderId="250" xfId="0" applyFont="1" applyFill="1" applyBorder="1" applyAlignment="1" applyProtection="1">
      <alignment horizontal="center" vertical="center" shrinkToFit="1"/>
    </xf>
    <xf numFmtId="0" fontId="28" fillId="2" borderId="85" xfId="0" applyFont="1" applyFill="1" applyBorder="1" applyAlignment="1" applyProtection="1">
      <alignment horizontal="left" vertical="center" wrapText="1"/>
    </xf>
    <xf numFmtId="0" fontId="28" fillId="2" borderId="86" xfId="0" applyFont="1" applyFill="1" applyBorder="1" applyAlignment="1" applyProtection="1">
      <alignment horizontal="left" vertical="center" wrapText="1"/>
    </xf>
    <xf numFmtId="0" fontId="28" fillId="2" borderId="361" xfId="0" applyFont="1" applyFill="1" applyBorder="1" applyAlignment="1" applyProtection="1">
      <alignment horizontal="left" vertical="center" wrapText="1"/>
    </xf>
    <xf numFmtId="0" fontId="28" fillId="2" borderId="363" xfId="0" applyFont="1" applyFill="1" applyBorder="1" applyAlignment="1" applyProtection="1">
      <alignment horizontal="left" vertical="center" wrapText="1"/>
    </xf>
    <xf numFmtId="0" fontId="28" fillId="4" borderId="306" xfId="0" applyFont="1" applyFill="1" applyBorder="1" applyAlignment="1" applyProtection="1">
      <alignment horizontal="center" vertical="center"/>
      <protection locked="0"/>
    </xf>
    <xf numFmtId="0" fontId="28" fillId="4" borderId="61" xfId="0" applyFont="1" applyFill="1" applyBorder="1" applyAlignment="1" applyProtection="1">
      <alignment horizontal="center" vertical="center"/>
      <protection locked="0"/>
    </xf>
    <xf numFmtId="0" fontId="28" fillId="2" borderId="155" xfId="0" applyFont="1" applyFill="1" applyBorder="1" applyAlignment="1" applyProtection="1">
      <alignment horizontal="center" vertical="center" wrapText="1"/>
    </xf>
    <xf numFmtId="0" fontId="28" fillId="2" borderId="133" xfId="0" applyFont="1" applyFill="1" applyBorder="1" applyAlignment="1" applyProtection="1">
      <alignment horizontal="center" vertical="center" wrapText="1"/>
    </xf>
    <xf numFmtId="0" fontId="28" fillId="2" borderId="156" xfId="0" applyFont="1" applyFill="1" applyBorder="1" applyAlignment="1" applyProtection="1">
      <alignment horizontal="center" vertical="center" wrapText="1"/>
    </xf>
    <xf numFmtId="0" fontId="28" fillId="2" borderId="87" xfId="0" applyFont="1" applyFill="1" applyBorder="1" applyAlignment="1" applyProtection="1">
      <alignment horizontal="center" vertical="center" wrapText="1"/>
    </xf>
    <xf numFmtId="0" fontId="28" fillId="2" borderId="435" xfId="0" applyFont="1" applyFill="1" applyBorder="1" applyAlignment="1" applyProtection="1">
      <alignment horizontal="center" vertical="center" wrapText="1"/>
    </xf>
    <xf numFmtId="0" fontId="28" fillId="2" borderId="90" xfId="0" applyFont="1" applyFill="1" applyBorder="1" applyAlignment="1" applyProtection="1">
      <alignment horizontal="center" vertical="center" wrapText="1"/>
    </xf>
    <xf numFmtId="0" fontId="28" fillId="2" borderId="358" xfId="0" applyFont="1" applyFill="1" applyBorder="1" applyAlignment="1" applyProtection="1">
      <alignment horizontal="center" vertical="center" shrinkToFit="1"/>
    </xf>
    <xf numFmtId="0" fontId="28" fillId="2" borderId="172" xfId="0" applyFont="1" applyFill="1" applyBorder="1" applyAlignment="1" applyProtection="1">
      <alignment horizontal="left" vertical="center" wrapText="1"/>
    </xf>
    <xf numFmtId="0" fontId="28" fillId="2" borderId="173" xfId="0" applyFont="1" applyFill="1" applyBorder="1" applyAlignment="1" applyProtection="1">
      <alignment horizontal="left" vertical="center" wrapText="1"/>
    </xf>
    <xf numFmtId="0" fontId="28" fillId="2" borderId="373" xfId="0" applyFont="1" applyFill="1" applyBorder="1" applyAlignment="1" applyProtection="1">
      <alignment horizontal="left" vertical="center" wrapText="1"/>
    </xf>
    <xf numFmtId="0" fontId="28" fillId="2" borderId="398" xfId="0" applyFont="1" applyFill="1" applyBorder="1" applyAlignment="1" applyProtection="1">
      <alignment horizontal="center" vertical="center" shrinkToFit="1"/>
    </xf>
    <xf numFmtId="0" fontId="28" fillId="2" borderId="342" xfId="0" applyFont="1" applyFill="1" applyBorder="1" applyAlignment="1" applyProtection="1">
      <alignment horizontal="center" vertical="center" shrinkToFit="1"/>
    </xf>
    <xf numFmtId="0" fontId="28" fillId="6" borderId="342" xfId="0" applyFont="1" applyFill="1" applyBorder="1" applyAlignment="1" applyProtection="1">
      <alignment horizontal="center" vertical="center" shrinkToFit="1"/>
      <protection locked="0"/>
    </xf>
    <xf numFmtId="0" fontId="28" fillId="6" borderId="399" xfId="0" applyFont="1" applyFill="1" applyBorder="1" applyAlignment="1" applyProtection="1">
      <alignment horizontal="center" vertical="center" shrinkToFit="1"/>
      <protection locked="0"/>
    </xf>
    <xf numFmtId="0" fontId="28" fillId="6" borderId="372" xfId="0" applyFont="1" applyFill="1" applyBorder="1" applyAlignment="1" applyProtection="1">
      <alignment horizontal="center" vertical="center" shrinkToFit="1"/>
      <protection locked="0"/>
    </xf>
    <xf numFmtId="0" fontId="28" fillId="2" borderId="38" xfId="0" applyFont="1" applyFill="1" applyBorder="1" applyAlignment="1" applyProtection="1">
      <alignment horizontal="center" vertical="center" shrinkToFit="1"/>
    </xf>
    <xf numFmtId="0" fontId="28" fillId="2" borderId="29" xfId="0" applyFont="1" applyFill="1" applyBorder="1" applyAlignment="1" applyProtection="1">
      <alignment horizontal="center" vertical="center" wrapText="1"/>
    </xf>
    <xf numFmtId="0" fontId="28" fillId="2" borderId="445" xfId="0" applyFont="1" applyFill="1" applyBorder="1" applyAlignment="1" applyProtection="1">
      <alignment horizontal="center" vertical="center" wrapText="1"/>
    </xf>
    <xf numFmtId="0" fontId="28" fillId="2" borderId="415" xfId="0" applyFont="1" applyFill="1" applyBorder="1" applyAlignment="1" applyProtection="1">
      <alignment horizontal="center" vertical="center" wrapText="1"/>
    </xf>
    <xf numFmtId="0" fontId="28" fillId="2" borderId="291" xfId="0" applyFont="1" applyFill="1" applyBorder="1" applyAlignment="1" applyProtection="1">
      <alignment horizontal="center" vertical="center" wrapText="1"/>
    </xf>
    <xf numFmtId="0" fontId="28" fillId="2" borderId="67" xfId="0" applyFont="1" applyFill="1" applyBorder="1" applyAlignment="1" applyProtection="1">
      <alignment horizontal="center" vertical="center" wrapText="1"/>
    </xf>
    <xf numFmtId="2" fontId="47" fillId="2" borderId="19" xfId="0" applyNumberFormat="1" applyFont="1" applyFill="1" applyBorder="1" applyAlignment="1" applyProtection="1">
      <alignment horizontal="center" vertical="center" shrinkToFit="1"/>
    </xf>
    <xf numFmtId="2" fontId="47" fillId="2" borderId="16" xfId="0" applyNumberFormat="1" applyFont="1" applyFill="1" applyBorder="1" applyAlignment="1" applyProtection="1">
      <alignment horizontal="center" vertical="center" shrinkToFit="1"/>
    </xf>
    <xf numFmtId="2" fontId="47" fillId="2" borderId="104" xfId="0" applyNumberFormat="1" applyFont="1" applyFill="1" applyBorder="1" applyAlignment="1" applyProtection="1">
      <alignment horizontal="center" vertical="center" shrinkToFit="1"/>
    </xf>
    <xf numFmtId="2" fontId="47" fillId="2" borderId="105" xfId="0" applyNumberFormat="1" applyFont="1" applyFill="1" applyBorder="1" applyAlignment="1" applyProtection="1">
      <alignment horizontal="center" vertical="center" shrinkToFit="1"/>
    </xf>
    <xf numFmtId="2" fontId="47" fillId="2" borderId="20" xfId="0" applyNumberFormat="1" applyFont="1" applyFill="1" applyBorder="1" applyAlignment="1" applyProtection="1">
      <alignment horizontal="center" vertical="center" shrinkToFit="1"/>
    </xf>
    <xf numFmtId="2" fontId="47" fillId="2" borderId="13" xfId="0" applyNumberFormat="1" applyFont="1" applyFill="1" applyBorder="1" applyAlignment="1" applyProtection="1">
      <alignment horizontal="center" vertical="center" shrinkToFit="1"/>
    </xf>
    <xf numFmtId="0" fontId="28" fillId="2" borderId="172" xfId="0" applyFont="1" applyFill="1" applyBorder="1" applyAlignment="1" applyProtection="1">
      <alignment horizontal="center" vertical="center" wrapText="1"/>
    </xf>
    <xf numFmtId="0" fontId="28" fillId="2" borderId="173" xfId="0" applyFont="1" applyFill="1" applyBorder="1" applyAlignment="1" applyProtection="1">
      <alignment horizontal="center" vertical="center" wrapText="1"/>
    </xf>
    <xf numFmtId="0" fontId="28" fillId="2" borderId="174" xfId="0" applyFont="1" applyFill="1" applyBorder="1" applyAlignment="1" applyProtection="1">
      <alignment horizontal="center" vertical="center" wrapText="1"/>
    </xf>
    <xf numFmtId="0" fontId="28" fillId="2" borderId="175" xfId="0" applyFont="1" applyFill="1" applyBorder="1" applyAlignment="1" applyProtection="1">
      <alignment horizontal="center" vertical="center" wrapText="1"/>
    </xf>
    <xf numFmtId="0" fontId="28" fillId="2" borderId="176" xfId="0" applyFont="1" applyFill="1" applyBorder="1" applyAlignment="1" applyProtection="1">
      <alignment horizontal="center" vertical="center" wrapText="1"/>
    </xf>
    <xf numFmtId="0" fontId="28" fillId="2" borderId="177" xfId="0" applyFont="1" applyFill="1" applyBorder="1" applyAlignment="1" applyProtection="1">
      <alignment horizontal="center" vertical="center" wrapText="1"/>
    </xf>
    <xf numFmtId="0" fontId="28" fillId="2" borderId="178" xfId="0" applyFont="1" applyFill="1" applyBorder="1" applyAlignment="1" applyProtection="1">
      <alignment horizontal="center" vertical="center" wrapText="1"/>
    </xf>
    <xf numFmtId="0" fontId="28" fillId="2" borderId="179" xfId="0" applyFont="1" applyFill="1" applyBorder="1" applyAlignment="1" applyProtection="1">
      <alignment horizontal="center" vertical="center" wrapText="1"/>
    </xf>
    <xf numFmtId="0" fontId="28" fillId="2" borderId="180" xfId="0" applyFont="1" applyFill="1" applyBorder="1" applyAlignment="1" applyProtection="1">
      <alignment horizontal="center" vertical="center" wrapText="1"/>
    </xf>
    <xf numFmtId="0" fontId="10" fillId="3" borderId="266" xfId="1" applyFont="1" applyFill="1" applyBorder="1" applyAlignment="1" applyProtection="1">
      <alignment horizontal="center" vertical="center" wrapText="1" shrinkToFit="1"/>
    </xf>
    <xf numFmtId="0" fontId="10" fillId="3" borderId="267" xfId="1" applyFont="1" applyFill="1" applyBorder="1" applyAlignment="1" applyProtection="1">
      <alignment horizontal="center" vertical="center" wrapText="1" shrinkToFit="1"/>
    </xf>
    <xf numFmtId="0" fontId="10" fillId="3" borderId="268" xfId="1" applyFont="1" applyFill="1" applyBorder="1" applyAlignment="1" applyProtection="1">
      <alignment horizontal="center" vertical="center" wrapText="1" shrinkToFit="1"/>
    </xf>
    <xf numFmtId="0" fontId="28" fillId="2" borderId="215" xfId="0" applyFont="1" applyFill="1" applyBorder="1" applyAlignment="1" applyProtection="1">
      <alignment horizontal="center" vertical="center"/>
    </xf>
    <xf numFmtId="0" fontId="28" fillId="2" borderId="65" xfId="0" applyFont="1" applyFill="1" applyBorder="1" applyAlignment="1" applyProtection="1">
      <alignment horizontal="center" vertical="center"/>
    </xf>
    <xf numFmtId="0" fontId="28" fillId="4" borderId="358" xfId="0" applyFont="1" applyFill="1" applyBorder="1" applyAlignment="1" applyProtection="1">
      <alignment horizontal="center" vertical="center"/>
      <protection locked="0"/>
    </xf>
    <xf numFmtId="0" fontId="28" fillId="4" borderId="180" xfId="0" applyFont="1" applyFill="1" applyBorder="1" applyAlignment="1" applyProtection="1">
      <alignment horizontal="center" vertical="center"/>
      <protection locked="0"/>
    </xf>
    <xf numFmtId="0" fontId="28" fillId="3" borderId="221" xfId="0" applyFont="1" applyFill="1" applyBorder="1" applyAlignment="1" applyProtection="1">
      <alignment horizontal="center" vertical="center" wrapText="1"/>
    </xf>
    <xf numFmtId="0" fontId="28" fillId="3" borderId="223" xfId="0" applyFont="1" applyFill="1" applyBorder="1" applyAlignment="1" applyProtection="1">
      <alignment horizontal="center" vertical="center" wrapText="1"/>
    </xf>
    <xf numFmtId="0" fontId="28" fillId="2" borderId="273" xfId="0" applyFont="1" applyFill="1" applyBorder="1" applyAlignment="1" applyProtection="1">
      <alignment horizontal="center" vertical="center" wrapText="1"/>
    </xf>
    <xf numFmtId="0" fontId="28" fillId="2" borderId="270" xfId="0" applyFont="1" applyFill="1" applyBorder="1" applyAlignment="1" applyProtection="1">
      <alignment horizontal="center" vertical="center" wrapText="1"/>
    </xf>
    <xf numFmtId="210" fontId="10" fillId="2" borderId="237" xfId="1" applyNumberFormat="1" applyFont="1" applyFill="1" applyBorder="1" applyAlignment="1" applyProtection="1">
      <alignment horizontal="center" vertical="center" wrapText="1" shrinkToFit="1"/>
    </xf>
    <xf numFmtId="210" fontId="10" fillId="2" borderId="308" xfId="1" applyNumberFormat="1" applyFont="1" applyFill="1" applyBorder="1" applyAlignment="1" applyProtection="1">
      <alignment horizontal="center" vertical="center" wrapText="1" shrinkToFit="1"/>
    </xf>
    <xf numFmtId="210" fontId="10" fillId="2" borderId="250" xfId="1" applyNumberFormat="1" applyFont="1" applyFill="1" applyBorder="1" applyAlignment="1" applyProtection="1">
      <alignment horizontal="center" vertical="center" wrapText="1" shrinkToFit="1"/>
    </xf>
    <xf numFmtId="0" fontId="28" fillId="3" borderId="150" xfId="0" applyFont="1" applyFill="1" applyBorder="1" applyAlignment="1" applyProtection="1">
      <alignment horizontal="center" vertical="center" shrinkToFit="1"/>
    </xf>
    <xf numFmtId="0" fontId="28" fillId="3" borderId="215" xfId="0" applyFont="1" applyFill="1" applyBorder="1" applyAlignment="1" applyProtection="1">
      <alignment horizontal="center" vertical="center"/>
    </xf>
    <xf numFmtId="0" fontId="28" fillId="3" borderId="216" xfId="0" applyFont="1" applyFill="1" applyBorder="1" applyAlignment="1" applyProtection="1">
      <alignment horizontal="center" vertical="center"/>
    </xf>
    <xf numFmtId="0" fontId="28" fillId="3" borderId="156" xfId="0" applyFont="1" applyFill="1" applyBorder="1" applyAlignment="1" applyProtection="1">
      <alignment horizontal="center" vertical="center"/>
    </xf>
    <xf numFmtId="0" fontId="28" fillId="3" borderId="86" xfId="0" applyFont="1" applyFill="1" applyBorder="1" applyAlignment="1" applyProtection="1">
      <alignment horizontal="center" vertical="center"/>
    </xf>
    <xf numFmtId="0" fontId="28" fillId="3" borderId="221" xfId="0" applyFont="1" applyFill="1" applyBorder="1" applyAlignment="1" applyProtection="1">
      <alignment horizontal="center" vertical="center" shrinkToFit="1"/>
    </xf>
    <xf numFmtId="207" fontId="10" fillId="2" borderId="6" xfId="1" applyNumberFormat="1" applyFont="1" applyFill="1" applyBorder="1" applyAlignment="1" applyProtection="1">
      <alignment horizontal="center" vertical="center" shrinkToFit="1"/>
    </xf>
    <xf numFmtId="207" fontId="10" fillId="2" borderId="9" xfId="1" applyNumberFormat="1" applyFont="1" applyFill="1" applyBorder="1" applyAlignment="1" applyProtection="1">
      <alignment horizontal="center" vertical="center" shrinkToFit="1"/>
    </xf>
    <xf numFmtId="207" fontId="10" fillId="2" borderId="8" xfId="1" applyNumberFormat="1" applyFont="1" applyFill="1" applyBorder="1" applyAlignment="1" applyProtection="1">
      <alignment horizontal="center" vertical="center" shrinkToFit="1"/>
    </xf>
    <xf numFmtId="207" fontId="10" fillId="2" borderId="181" xfId="1" applyNumberFormat="1" applyFont="1" applyFill="1" applyBorder="1" applyAlignment="1" applyProtection="1">
      <alignment horizontal="center" vertical="center" wrapText="1"/>
    </xf>
    <xf numFmtId="207" fontId="10" fillId="2" borderId="9" xfId="1" applyNumberFormat="1" applyFont="1" applyFill="1" applyBorder="1" applyAlignment="1" applyProtection="1">
      <alignment horizontal="center" vertical="center" wrapText="1"/>
    </xf>
    <xf numFmtId="0" fontId="28" fillId="2" borderId="410" xfId="0" applyFont="1" applyFill="1" applyBorder="1" applyAlignment="1" applyProtection="1">
      <alignment horizontal="center" vertical="center" wrapText="1" shrinkToFit="1"/>
    </xf>
    <xf numFmtId="0" fontId="28" fillId="2" borderId="105" xfId="0" applyFont="1" applyFill="1" applyBorder="1" applyAlignment="1" applyProtection="1">
      <alignment horizontal="center" vertical="center" wrapText="1" shrinkToFit="1"/>
    </xf>
    <xf numFmtId="0" fontId="28" fillId="2" borderId="267" xfId="0" applyFont="1" applyFill="1" applyBorder="1" applyAlignment="1" applyProtection="1">
      <alignment horizontal="center" vertical="center" shrinkToFit="1"/>
    </xf>
    <xf numFmtId="0" fontId="28" fillId="2" borderId="268" xfId="0" applyFont="1" applyFill="1" applyBorder="1" applyAlignment="1" applyProtection="1">
      <alignment horizontal="center" vertical="center" shrinkToFit="1"/>
    </xf>
    <xf numFmtId="0" fontId="28" fillId="2" borderId="237" xfId="0" applyFont="1" applyFill="1" applyBorder="1" applyAlignment="1" applyProtection="1">
      <alignment horizontal="center" vertical="center" shrinkToFit="1"/>
    </xf>
    <xf numFmtId="0" fontId="28" fillId="2" borderId="235" xfId="0" applyFont="1" applyFill="1" applyBorder="1" applyAlignment="1" applyProtection="1">
      <alignment horizontal="center" vertical="center" shrinkToFit="1"/>
    </xf>
    <xf numFmtId="0" fontId="28" fillId="2" borderId="21" xfId="0" applyFont="1" applyFill="1" applyBorder="1" applyAlignment="1" applyProtection="1">
      <alignment horizontal="left" vertical="center" wrapText="1"/>
    </xf>
    <xf numFmtId="0" fontId="28" fillId="2" borderId="0" xfId="0" applyFont="1" applyFill="1" applyBorder="1" applyAlignment="1" applyProtection="1">
      <alignment horizontal="left" vertical="center" wrapText="1"/>
    </xf>
    <xf numFmtId="0" fontId="28" fillId="2" borderId="20" xfId="0" applyFont="1" applyFill="1" applyBorder="1" applyAlignment="1" applyProtection="1">
      <alignment horizontal="left" vertical="center" wrapText="1"/>
    </xf>
    <xf numFmtId="0" fontId="28" fillId="2" borderId="10" xfId="0" applyFont="1" applyFill="1" applyBorder="1" applyAlignment="1" applyProtection="1">
      <alignment horizontal="left" vertical="center" wrapText="1"/>
    </xf>
    <xf numFmtId="210" fontId="10" fillId="2" borderId="370" xfId="1" applyNumberFormat="1" applyFont="1" applyFill="1" applyBorder="1" applyAlignment="1" applyProtection="1">
      <alignment horizontal="center" vertical="center" shrinkToFit="1"/>
    </xf>
    <xf numFmtId="2" fontId="10" fillId="2" borderId="291" xfId="1" applyNumberFormat="1" applyFont="1" applyFill="1" applyBorder="1" applyAlignment="1" applyProtection="1">
      <alignment horizontal="right" vertical="center" shrinkToFit="1"/>
    </xf>
    <xf numFmtId="2" fontId="10" fillId="2" borderId="205" xfId="1" applyNumberFormat="1" applyFont="1" applyFill="1" applyBorder="1" applyAlignment="1" applyProtection="1">
      <alignment horizontal="right" vertical="center" shrinkToFit="1"/>
    </xf>
    <xf numFmtId="2" fontId="10" fillId="2" borderId="354" xfId="1" applyNumberFormat="1" applyFont="1" applyFill="1" applyBorder="1" applyAlignment="1" applyProtection="1">
      <alignment horizontal="right" vertical="center" shrinkToFit="1"/>
    </xf>
    <xf numFmtId="20" fontId="28" fillId="2" borderId="374" xfId="0" applyNumberFormat="1" applyFont="1" applyFill="1" applyBorder="1" applyAlignment="1" applyProtection="1">
      <alignment horizontal="left" vertical="center" wrapText="1"/>
    </xf>
    <xf numFmtId="20" fontId="28" fillId="2" borderId="348" xfId="0" applyNumberFormat="1" applyFont="1" applyFill="1" applyBorder="1" applyAlignment="1" applyProtection="1">
      <alignment horizontal="left" vertical="center" wrapText="1"/>
    </xf>
    <xf numFmtId="0" fontId="27" fillId="2" borderId="0" xfId="0" applyFont="1" applyFill="1" applyAlignment="1" applyProtection="1">
      <alignment horizontal="center" vertical="center" shrinkToFit="1"/>
    </xf>
    <xf numFmtId="0" fontId="26" fillId="2" borderId="17" xfId="0" applyFont="1" applyFill="1" applyBorder="1" applyAlignment="1" applyProtection="1">
      <alignment horizontal="center" vertical="center" shrinkToFit="1"/>
    </xf>
    <xf numFmtId="0" fontId="26" fillId="2" borderId="18" xfId="0" applyFont="1" applyFill="1" applyBorder="1" applyAlignment="1" applyProtection="1">
      <alignment horizontal="center" vertical="center" shrinkToFit="1"/>
    </xf>
    <xf numFmtId="0" fontId="26" fillId="2" borderId="14" xfId="0" applyFont="1" applyFill="1" applyBorder="1" applyAlignment="1" applyProtection="1">
      <alignment horizontal="center" vertical="center" shrinkToFit="1"/>
    </xf>
    <xf numFmtId="0" fontId="27" fillId="2" borderId="17" xfId="0" applyFont="1" applyFill="1" applyBorder="1" applyAlignment="1" applyProtection="1">
      <alignment horizontal="center" vertical="center"/>
    </xf>
    <xf numFmtId="0" fontId="27" fillId="2" borderId="18" xfId="0" applyFont="1" applyFill="1" applyBorder="1" applyAlignment="1" applyProtection="1">
      <alignment horizontal="center" vertical="center"/>
    </xf>
    <xf numFmtId="0" fontId="27" fillId="2" borderId="18" xfId="0" applyFont="1" applyFill="1" applyBorder="1" applyAlignment="1" applyProtection="1">
      <alignment horizontal="left" vertical="center"/>
    </xf>
    <xf numFmtId="0" fontId="27" fillId="2" borderId="14" xfId="0" applyFont="1" applyFill="1" applyBorder="1" applyAlignment="1" applyProtection="1">
      <alignment horizontal="left" vertical="center"/>
    </xf>
    <xf numFmtId="0" fontId="27" fillId="2" borderId="14" xfId="0" applyFont="1" applyFill="1" applyBorder="1" applyAlignment="1" applyProtection="1">
      <alignment horizontal="center" vertical="center"/>
    </xf>
    <xf numFmtId="0" fontId="27" fillId="6" borderId="1" xfId="0" applyFont="1" applyFill="1" applyBorder="1" applyAlignment="1" applyProtection="1">
      <alignment horizontal="center" vertical="center" shrinkToFit="1"/>
      <protection locked="0"/>
    </xf>
    <xf numFmtId="0" fontId="27" fillId="6" borderId="9" xfId="0" applyFont="1" applyFill="1" applyBorder="1" applyAlignment="1" applyProtection="1">
      <alignment horizontal="center" vertical="center" shrinkToFit="1"/>
      <protection locked="0"/>
    </xf>
    <xf numFmtId="0" fontId="27" fillId="6" borderId="76" xfId="0" applyFont="1" applyFill="1" applyBorder="1" applyAlignment="1" applyProtection="1">
      <alignment horizontal="center" vertical="center" shrinkToFit="1"/>
      <protection locked="0"/>
    </xf>
    <xf numFmtId="0" fontId="27" fillId="6" borderId="72" xfId="0" applyFont="1" applyFill="1" applyBorder="1" applyAlignment="1" applyProtection="1">
      <alignment horizontal="center" vertical="center" shrinkToFit="1"/>
      <protection locked="0"/>
    </xf>
    <xf numFmtId="0" fontId="27" fillId="6" borderId="50" xfId="0" applyFont="1" applyFill="1" applyBorder="1" applyAlignment="1" applyProtection="1">
      <alignment horizontal="center" vertical="center" shrinkToFit="1"/>
      <protection locked="0"/>
    </xf>
    <xf numFmtId="0" fontId="27" fillId="6" borderId="111" xfId="0" applyFont="1" applyFill="1" applyBorder="1" applyAlignment="1" applyProtection="1">
      <alignment horizontal="center" vertical="center" shrinkToFit="1"/>
      <protection locked="0"/>
    </xf>
    <xf numFmtId="0" fontId="27" fillId="6" borderId="1" xfId="0" applyFont="1" applyFill="1" applyBorder="1" applyAlignment="1" applyProtection="1">
      <alignment horizontal="center" vertical="center" wrapText="1" shrinkToFit="1"/>
      <protection locked="0"/>
    </xf>
    <xf numFmtId="0" fontId="27" fillId="6" borderId="9" xfId="0" applyFont="1" applyFill="1" applyBorder="1" applyAlignment="1" applyProtection="1">
      <alignment horizontal="center" vertical="center" wrapText="1" shrinkToFit="1"/>
      <protection locked="0"/>
    </xf>
    <xf numFmtId="0" fontId="27" fillId="6" borderId="76" xfId="0" applyFont="1" applyFill="1" applyBorder="1" applyAlignment="1" applyProtection="1">
      <alignment horizontal="center" vertical="center" wrapText="1" shrinkToFit="1"/>
      <protection locked="0"/>
    </xf>
    <xf numFmtId="0" fontId="27" fillId="2" borderId="1" xfId="0" applyFont="1" applyFill="1" applyBorder="1" applyAlignment="1" applyProtection="1">
      <alignment horizontal="center" vertical="center" shrinkToFit="1"/>
    </xf>
    <xf numFmtId="0" fontId="27" fillId="2" borderId="9" xfId="0" applyFont="1" applyFill="1" applyBorder="1" applyAlignment="1" applyProtection="1">
      <alignment horizontal="center" vertical="center" shrinkToFit="1"/>
    </xf>
    <xf numFmtId="0" fontId="27" fillId="2" borderId="76" xfId="0" applyFont="1" applyFill="1" applyBorder="1" applyAlignment="1" applyProtection="1">
      <alignment horizontal="center" vertical="center" shrinkToFit="1"/>
    </xf>
    <xf numFmtId="0" fontId="27" fillId="2" borderId="74" xfId="0" applyFont="1" applyFill="1" applyBorder="1" applyAlignment="1" applyProtection="1">
      <alignment horizontal="center" vertical="center" textRotation="255"/>
    </xf>
    <xf numFmtId="0" fontId="27" fillId="2" borderId="75" xfId="0" applyFont="1" applyFill="1" applyBorder="1" applyAlignment="1" applyProtection="1">
      <alignment horizontal="center" vertical="center" textRotation="255"/>
    </xf>
    <xf numFmtId="182" fontId="27" fillId="2" borderId="1" xfId="5" applyNumberFormat="1" applyFont="1" applyFill="1" applyBorder="1" applyAlignment="1" applyProtection="1">
      <alignment horizontal="center" vertical="center"/>
    </xf>
    <xf numFmtId="182" fontId="27" fillId="2" borderId="9" xfId="5" applyNumberFormat="1" applyFont="1" applyFill="1" applyBorder="1" applyAlignment="1" applyProtection="1">
      <alignment horizontal="center" vertical="center"/>
    </xf>
    <xf numFmtId="182" fontId="27" fillId="2" borderId="76" xfId="5" applyNumberFormat="1" applyFont="1" applyFill="1" applyBorder="1" applyAlignment="1" applyProtection="1">
      <alignment horizontal="center" vertical="center"/>
    </xf>
    <xf numFmtId="182" fontId="27" fillId="3" borderId="523" xfId="0" applyNumberFormat="1" applyFont="1" applyFill="1" applyBorder="1" applyAlignment="1" applyProtection="1">
      <alignment horizontal="center" vertical="center"/>
    </xf>
    <xf numFmtId="182" fontId="27" fillId="3" borderId="524" xfId="0" applyNumberFormat="1" applyFont="1" applyFill="1" applyBorder="1" applyAlignment="1" applyProtection="1">
      <alignment horizontal="center" vertical="center"/>
    </xf>
    <xf numFmtId="182" fontId="27" fillId="3" borderId="525" xfId="0" applyNumberFormat="1" applyFont="1" applyFill="1" applyBorder="1" applyAlignment="1" applyProtection="1">
      <alignment horizontal="center" vertical="center"/>
    </xf>
    <xf numFmtId="182" fontId="27" fillId="3" borderId="526" xfId="5" applyNumberFormat="1" applyFont="1" applyFill="1" applyBorder="1" applyAlignment="1" applyProtection="1">
      <alignment horizontal="center" vertical="center"/>
    </xf>
    <xf numFmtId="182" fontId="27" fillId="3" borderId="527" xfId="5" applyNumberFormat="1" applyFont="1" applyFill="1" applyBorder="1" applyAlignment="1" applyProtection="1">
      <alignment horizontal="center" vertical="center"/>
    </xf>
    <xf numFmtId="182" fontId="27" fillId="3" borderId="528" xfId="5" applyNumberFormat="1" applyFont="1" applyFill="1" applyBorder="1" applyAlignment="1" applyProtection="1">
      <alignment horizontal="center" vertical="center"/>
    </xf>
    <xf numFmtId="0" fontId="27" fillId="2" borderId="77" xfId="0" applyFont="1" applyFill="1" applyBorder="1" applyAlignment="1" applyProtection="1">
      <alignment horizontal="center" vertical="center"/>
    </xf>
    <xf numFmtId="0" fontId="27" fillId="2" borderId="35" xfId="0" applyFont="1" applyFill="1" applyBorder="1" applyAlignment="1" applyProtection="1">
      <alignment horizontal="center" vertical="center"/>
    </xf>
    <xf numFmtId="0" fontId="27" fillId="2" borderId="12" xfId="0" applyFont="1" applyFill="1" applyBorder="1" applyAlignment="1" applyProtection="1">
      <alignment horizontal="center" vertical="center"/>
    </xf>
    <xf numFmtId="0" fontId="27" fillId="2" borderId="78" xfId="0" applyFont="1" applyFill="1" applyBorder="1" applyAlignment="1" applyProtection="1">
      <alignment horizontal="center" vertical="top" textRotation="255"/>
    </xf>
    <xf numFmtId="0" fontId="27" fillId="2" borderId="0" xfId="0" applyFont="1" applyFill="1" applyBorder="1" applyAlignment="1" applyProtection="1">
      <alignment horizontal="center" vertical="top" textRotation="255"/>
    </xf>
    <xf numFmtId="0" fontId="27" fillId="2" borderId="15" xfId="0" applyFont="1" applyFill="1" applyBorder="1" applyAlignment="1" applyProtection="1">
      <alignment horizontal="center" vertical="top" textRotation="255"/>
    </xf>
    <xf numFmtId="0" fontId="27" fillId="2" borderId="21" xfId="0" applyFont="1" applyFill="1" applyBorder="1" applyAlignment="1" applyProtection="1">
      <alignment horizontal="center" vertical="top" textRotation="255" shrinkToFit="1"/>
    </xf>
    <xf numFmtId="0" fontId="27" fillId="2" borderId="15" xfId="0" applyFont="1" applyFill="1" applyBorder="1" applyAlignment="1" applyProtection="1">
      <alignment horizontal="center" vertical="top" textRotation="255" shrinkToFit="1"/>
    </xf>
    <xf numFmtId="0" fontId="27" fillId="2" borderId="29" xfId="0" applyFont="1" applyFill="1" applyBorder="1" applyAlignment="1" applyProtection="1">
      <alignment horizontal="center" vertical="center" shrinkToFit="1"/>
    </xf>
    <xf numFmtId="0" fontId="27" fillId="2" borderId="12" xfId="0" applyFont="1" applyFill="1" applyBorder="1" applyAlignment="1" applyProtection="1">
      <alignment horizontal="center" vertical="center" shrinkToFit="1"/>
    </xf>
    <xf numFmtId="0" fontId="10" fillId="4" borderId="82" xfId="0" applyFont="1" applyFill="1" applyBorder="1" applyAlignment="1" applyProtection="1">
      <alignment horizontal="left" vertical="center" shrinkToFit="1"/>
      <protection locked="0"/>
    </xf>
    <xf numFmtId="0" fontId="10" fillId="4" borderId="83" xfId="0" applyFont="1" applyFill="1" applyBorder="1" applyAlignment="1" applyProtection="1">
      <alignment horizontal="left" vertical="center" shrinkToFit="1"/>
      <protection locked="0"/>
    </xf>
    <xf numFmtId="0" fontId="10" fillId="4" borderId="84" xfId="0" applyFont="1" applyFill="1" applyBorder="1" applyAlignment="1" applyProtection="1">
      <alignment horizontal="left" vertical="center" shrinkToFit="1"/>
      <protection locked="0"/>
    </xf>
    <xf numFmtId="0" fontId="10" fillId="6" borderId="62" xfId="0" applyFont="1" applyFill="1" applyBorder="1" applyAlignment="1" applyProtection="1">
      <alignment horizontal="center" vertical="center" shrinkToFit="1"/>
      <protection locked="0"/>
    </xf>
    <xf numFmtId="0" fontId="10" fillId="4" borderId="62" xfId="0" applyFont="1" applyFill="1" applyBorder="1" applyAlignment="1" applyProtection="1">
      <alignment horizontal="left" vertical="center" shrinkToFit="1"/>
      <protection locked="0"/>
    </xf>
    <xf numFmtId="0" fontId="10" fillId="4" borderId="18" xfId="0" applyFont="1" applyFill="1" applyBorder="1" applyAlignment="1" applyProtection="1">
      <alignment horizontal="center" vertical="center"/>
      <protection locked="0"/>
    </xf>
  </cellXfs>
  <cellStyles count="17">
    <cellStyle name="パーセント" xfId="5" builtinId="5"/>
    <cellStyle name="ハイパーリンク" xfId="11" builtinId="8"/>
    <cellStyle name="ハイパーリンク 2" xfId="13" xr:uid="{00000000-0005-0000-0000-000002000000}"/>
    <cellStyle name="桁区切り" xfId="4" builtinId="6"/>
    <cellStyle name="桁区切り 2" xfId="2" xr:uid="{00000000-0005-0000-0000-000004000000}"/>
    <cellStyle name="標準" xfId="0" builtinId="0"/>
    <cellStyle name="標準 15" xfId="9" xr:uid="{00000000-0005-0000-0000-000006000000}"/>
    <cellStyle name="標準 2" xfId="1" xr:uid="{00000000-0005-0000-0000-000007000000}"/>
    <cellStyle name="標準 2 2" xfId="10" xr:uid="{00000000-0005-0000-0000-000008000000}"/>
    <cellStyle name="標準 2 4" xfId="6" xr:uid="{00000000-0005-0000-0000-000009000000}"/>
    <cellStyle name="標準 20" xfId="14" xr:uid="{00000000-0005-0000-0000-00000A000000}"/>
    <cellStyle name="標準 22" xfId="16" xr:uid="{00000000-0005-0000-0000-00000B000000}"/>
    <cellStyle name="標準 3" xfId="3" xr:uid="{00000000-0005-0000-0000-00000C000000}"/>
    <cellStyle name="標準 3 2" xfId="7" xr:uid="{00000000-0005-0000-0000-00000D000000}"/>
    <cellStyle name="標準 3 2 4" xfId="15" xr:uid="{00000000-0005-0000-0000-00000E000000}"/>
    <cellStyle name="標準 4" xfId="12" xr:uid="{00000000-0005-0000-0000-00000F000000}"/>
    <cellStyle name="標準 4 2" xfId="8" xr:uid="{00000000-0005-0000-0000-000010000000}"/>
  </cellStyles>
  <dxfs count="137">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theme="0"/>
        </patternFill>
      </fill>
    </dxf>
    <dxf>
      <fill>
        <patternFill>
          <bgColor rgb="FFFF0000"/>
        </patternFill>
      </fill>
    </dxf>
    <dxf>
      <fill>
        <patternFill>
          <bgColor rgb="FFFF0000"/>
        </patternFill>
      </fill>
    </dxf>
    <dxf>
      <fill>
        <patternFill>
          <bgColor theme="6" tint="0.79998168889431442"/>
        </patternFill>
      </fill>
    </dxf>
    <dxf>
      <fill>
        <patternFill patternType="gray0625">
          <bgColor theme="0"/>
        </patternFill>
      </fill>
    </dxf>
    <dxf>
      <fill>
        <patternFill patternType="gray0625">
          <fgColor theme="1"/>
          <bgColor theme="0"/>
        </patternFill>
      </fill>
    </dxf>
    <dxf>
      <font>
        <strike/>
      </font>
      <fill>
        <patternFill>
          <bgColor theme="0"/>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rgb="FFFF0000"/>
      </font>
    </dxf>
    <dxf>
      <font>
        <color rgb="FFFF0000"/>
      </font>
      <fill>
        <patternFill>
          <bgColor theme="0"/>
        </patternFill>
      </fill>
    </dxf>
    <dxf>
      <font>
        <b val="0"/>
        <i val="0"/>
        <color rgb="FFFF0000"/>
      </font>
    </dxf>
    <dxf>
      <font>
        <color rgb="FFFF0000"/>
      </font>
      <fill>
        <patternFill>
          <bgColor rgb="FFFF0000"/>
        </patternFill>
      </fill>
    </dxf>
    <dxf>
      <fill>
        <patternFill>
          <bgColor theme="0"/>
        </patternFill>
      </fill>
    </dxf>
    <dxf>
      <fill>
        <patternFill>
          <bgColor theme="9" tint="0.79998168889431442"/>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0000"/>
        </patternFill>
      </fill>
    </dxf>
    <dxf>
      <fill>
        <patternFill>
          <bgColor theme="6" tint="0.79998168889431442"/>
        </patternFill>
      </fill>
    </dxf>
    <dxf>
      <fill>
        <patternFill>
          <bgColor rgb="FFFF0000"/>
        </patternFill>
      </fill>
    </dxf>
    <dxf>
      <fill>
        <patternFill>
          <bgColor theme="9" tint="0.79998168889431442"/>
        </patternFill>
      </fill>
    </dxf>
    <dxf>
      <fill>
        <patternFill>
          <bgColor theme="6" tint="0.79998168889431442"/>
        </patternFill>
      </fill>
    </dxf>
    <dxf>
      <fill>
        <patternFill>
          <bgColor rgb="FFFF0000"/>
        </patternFill>
      </fill>
    </dxf>
    <dxf>
      <fill>
        <patternFill>
          <bgColor theme="9" tint="0.79998168889431442"/>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theme="6" tint="0.79998168889431442"/>
        </patternFill>
      </fill>
    </dxf>
    <dxf>
      <fill>
        <patternFill>
          <bgColor rgb="FFFF0000"/>
        </patternFill>
      </fill>
    </dxf>
    <dxf>
      <fill>
        <patternFill>
          <bgColor theme="9"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tint="-4.9989318521683403E-2"/>
        </patternFill>
      </fill>
    </dxf>
    <dxf>
      <font>
        <color rgb="FFFF0000"/>
      </font>
    </dxf>
    <dxf>
      <font>
        <color rgb="FFFF0000"/>
      </font>
    </dxf>
    <dxf>
      <font>
        <color rgb="FFFF0000"/>
      </font>
    </dxf>
    <dxf>
      <font>
        <color rgb="FFFF0000"/>
      </font>
    </dxf>
    <dxf>
      <fill>
        <patternFill>
          <bgColor theme="0" tint="-4.9989318521683403E-2"/>
        </patternFill>
      </fill>
    </dxf>
    <dxf>
      <fill>
        <patternFill>
          <bgColor theme="0" tint="-4.9989318521683403E-2"/>
        </patternFill>
      </fill>
    </dxf>
    <dxf>
      <font>
        <color rgb="FFFF0000"/>
      </font>
      <fill>
        <patternFill patternType="none">
          <bgColor auto="1"/>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0000"/>
        </patternFill>
      </fill>
    </dxf>
    <dxf>
      <fill>
        <patternFill>
          <bgColor rgb="FFFF00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92D05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0000"/>
        </patternFill>
      </fill>
    </dxf>
    <dxf>
      <font>
        <b val="0"/>
        <i val="0"/>
        <strike val="0"/>
        <condense val="0"/>
        <extend val="0"/>
        <outline val="0"/>
        <shadow val="0"/>
        <u val="none"/>
        <vertAlign val="baseline"/>
        <sz val="9"/>
        <color theme="1"/>
        <name val="ＭＳ ゴシック"/>
        <scheme val="none"/>
      </font>
      <numFmt numFmtId="0" formatCode="General"/>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top style="thin">
          <color indexed="64"/>
        </top>
        <bottom/>
        <vertical/>
        <horizontal/>
      </border>
      <protection locked="1" hidden="0"/>
    </dxf>
    <dxf>
      <protection locked="1" hidden="0"/>
    </dxf>
    <dxf>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indexed="64"/>
        </left>
        <right/>
        <top style="thin">
          <color indexed="64"/>
        </top>
        <bottom/>
        <vertical/>
        <horizontal/>
      </border>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border outline="0">
        <left style="thin">
          <color rgb="FF000000"/>
        </left>
        <right style="thin">
          <color rgb="FF000000"/>
        </right>
        <top style="thin">
          <color rgb="FF000000"/>
        </top>
        <bottom style="thin">
          <color rgb="FF000000"/>
        </bottom>
      </border>
    </dxf>
    <dxf>
      <protection locked="1" hidden="0"/>
    </dxf>
    <dxf>
      <font>
        <b/>
        <i val="0"/>
        <strike val="0"/>
        <condense val="0"/>
        <extend val="0"/>
        <outline val="0"/>
        <shadow val="0"/>
        <u val="none"/>
        <vertAlign val="baseline"/>
        <sz val="9"/>
        <color theme="1"/>
        <name val="ＭＳ ゴシック"/>
        <scheme val="none"/>
      </font>
      <numFmt numFmtId="0" formatCode="General"/>
      <alignment horizontal="center" vertical="center" textRotation="0" wrapText="0" indent="0" justifyLastLine="0" shrinkToFit="0" readingOrder="0"/>
      <protection locked="1" hidden="0"/>
    </dxf>
  </dxfs>
  <tableStyles count="0" defaultTableStyle="TableStyleMedium2" defaultPivotStyle="PivotStyleLight16"/>
  <colors>
    <mruColors>
      <color rgb="FFFFFFCC"/>
      <color rgb="FFFFCCCC"/>
      <color rgb="FFFFCCFF"/>
      <color rgb="FFFF99FF"/>
      <color rgb="FFCCECFF"/>
      <color rgb="FFFF99CC"/>
      <color rgb="FFFF9900"/>
      <color rgb="FFCC99FF"/>
      <color rgb="FF99FFC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19</xdr:col>
      <xdr:colOff>0</xdr:colOff>
      <xdr:row>0</xdr:row>
      <xdr:rowOff>0</xdr:rowOff>
    </xdr:from>
    <xdr:to>
      <xdr:col>23</xdr:col>
      <xdr:colOff>476250</xdr:colOff>
      <xdr:row>2</xdr:row>
      <xdr:rowOff>295275</xdr:rowOff>
    </xdr:to>
    <xdr:sp macro="" textlink="">
      <xdr:nvSpPr>
        <xdr:cNvPr id="2" name="線吹き出し 1 (枠付き) 1">
          <a:extLst>
            <a:ext uri="{FF2B5EF4-FFF2-40B4-BE49-F238E27FC236}">
              <a16:creationId xmlns:a16="http://schemas.microsoft.com/office/drawing/2014/main" id="{00000000-0008-0000-0000-000002000000}"/>
            </a:ext>
          </a:extLst>
        </xdr:cNvPr>
        <xdr:cNvSpPr/>
      </xdr:nvSpPr>
      <xdr:spPr>
        <a:xfrm>
          <a:off x="14620875" y="0"/>
          <a:ext cx="3781425" cy="1019175"/>
        </a:xfrm>
        <a:prstGeom prst="borderCallout1">
          <a:avLst>
            <a:gd name="adj1" fmla="val 63983"/>
            <a:gd name="adj2" fmla="val 100767"/>
            <a:gd name="adj3" fmla="val 127791"/>
            <a:gd name="adj4" fmla="val 108812"/>
          </a:avLst>
        </a:prstGeom>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kumimoji="1" lang="en-US" altLang="ja-JP" sz="1100"/>
            <a:t>=INDEX($S$4:$V$700,MATCH($W4&amp;X$3,INDEX($S$4:$S$700&amp;$U$4:$U$700,),0),MATCH("</a:t>
          </a:r>
          <a:r>
            <a:rPr kumimoji="1" lang="ja-JP" altLang="en-US" sz="1100"/>
            <a:t>施設名</a:t>
          </a:r>
          <a:r>
            <a:rPr kumimoji="1" lang="en-US" altLang="ja-JP" sz="1100"/>
            <a:t>",$S$3:$V$3,0))</a:t>
          </a:r>
          <a:r>
            <a:rPr kumimoji="1" lang="ja-JP" altLang="en-US" sz="1100"/>
            <a:t>と貼り付けてコピー</a:t>
          </a:r>
        </a:p>
      </xdr:txBody>
    </xdr:sp>
    <xdr:clientData/>
  </xdr:twoCellAnchor>
  <xdr:twoCellAnchor>
    <xdr:from>
      <xdr:col>23</xdr:col>
      <xdr:colOff>504824</xdr:colOff>
      <xdr:row>0</xdr:row>
      <xdr:rowOff>47624</xdr:rowOff>
    </xdr:from>
    <xdr:to>
      <xdr:col>29</xdr:col>
      <xdr:colOff>219074</xdr:colOff>
      <xdr:row>1</xdr:row>
      <xdr:rowOff>66675</xdr:rowOff>
    </xdr:to>
    <xdr:sp macro="" textlink="">
      <xdr:nvSpPr>
        <xdr:cNvPr id="3" name="四角形吹き出し 2">
          <a:extLst>
            <a:ext uri="{FF2B5EF4-FFF2-40B4-BE49-F238E27FC236}">
              <a16:creationId xmlns:a16="http://schemas.microsoft.com/office/drawing/2014/main" id="{00000000-0008-0000-0000-000003000000}"/>
            </a:ext>
          </a:extLst>
        </xdr:cNvPr>
        <xdr:cNvSpPr/>
      </xdr:nvSpPr>
      <xdr:spPr>
        <a:xfrm>
          <a:off x="18430874" y="47624"/>
          <a:ext cx="3971925" cy="371476"/>
        </a:xfrm>
        <a:prstGeom prst="wedgeRectCallout">
          <a:avLst>
            <a:gd name="adj1" fmla="val -33775"/>
            <a:gd name="adj2" fmla="val 122828"/>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100"/>
            <a:t>=VLOOKUP(X2,$T$4:$U$700,2,FALSE)</a:t>
          </a:r>
          <a:r>
            <a:rPr kumimoji="1" lang="ja-JP" altLang="en-US" sz="1100"/>
            <a:t>と貼り付けてコピー</a:t>
          </a:r>
        </a:p>
      </xdr:txBody>
    </xdr:sp>
    <xdr:clientData/>
  </xdr:twoCellAnchor>
  <xdr:twoCellAnchor>
    <xdr:from>
      <xdr:col>25</xdr:col>
      <xdr:colOff>95250</xdr:colOff>
      <xdr:row>471</xdr:row>
      <xdr:rowOff>123825</xdr:rowOff>
    </xdr:from>
    <xdr:to>
      <xdr:col>31</xdr:col>
      <xdr:colOff>419100</xdr:colOff>
      <xdr:row>483</xdr:row>
      <xdr:rowOff>104775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9535775" y="83810475"/>
          <a:ext cx="4438650" cy="169545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a:t>
          </a:r>
          <a:r>
            <a:rPr kumimoji="1" lang="ja-JP" altLang="en-US" sz="1400"/>
            <a:t>　札幌市外の児童について</a:t>
          </a:r>
          <a:endParaRPr kumimoji="1" lang="en-US" altLang="ja-JP" sz="1400"/>
        </a:p>
        <a:p>
          <a:r>
            <a:rPr kumimoji="1" lang="ja-JP" altLang="en-US" sz="1400"/>
            <a:t>　貴施設に通所（園）している児童のうち、札幌市以外の児童全てを指します。</a:t>
          </a:r>
          <a:endParaRPr kumimoji="1" lang="en-US" altLang="ja-JP" sz="1400"/>
        </a:p>
        <a:p>
          <a:r>
            <a:rPr kumimoji="1" lang="ja-JP" altLang="en-US" sz="1400"/>
            <a:t>例）札幌市</a:t>
          </a:r>
          <a:r>
            <a:rPr kumimoji="1" lang="en-US" altLang="ja-JP" sz="1400"/>
            <a:t>2</a:t>
          </a:r>
          <a:r>
            <a:rPr kumimoji="1" lang="ja-JP" altLang="en-US" sz="1400"/>
            <a:t>人、○○市</a:t>
          </a:r>
          <a:r>
            <a:rPr kumimoji="1" lang="en-US" altLang="ja-JP" sz="1400"/>
            <a:t>5</a:t>
          </a:r>
          <a:r>
            <a:rPr kumimoji="1" lang="ja-JP" altLang="en-US" sz="1400"/>
            <a:t>人、△△市</a:t>
          </a:r>
          <a:r>
            <a:rPr kumimoji="1" lang="en-US" altLang="ja-JP" sz="1400"/>
            <a:t>3</a:t>
          </a:r>
          <a:r>
            <a:rPr kumimoji="1" lang="ja-JP" altLang="en-US" sz="1400"/>
            <a:t>人、貴施設の属する市</a:t>
          </a:r>
          <a:r>
            <a:rPr kumimoji="1" lang="en-US" altLang="ja-JP" sz="1400"/>
            <a:t>25</a:t>
          </a:r>
          <a:r>
            <a:rPr kumimoji="1" lang="ja-JP" altLang="en-US" sz="1400"/>
            <a:t>人</a:t>
          </a:r>
          <a:endParaRPr kumimoji="1" lang="en-US" altLang="ja-JP" sz="1400"/>
        </a:p>
        <a:p>
          <a:r>
            <a:rPr kumimoji="1" lang="ja-JP" altLang="en-US" sz="1400"/>
            <a:t>　⇒札幌市外：</a:t>
          </a:r>
          <a:r>
            <a:rPr kumimoji="1" lang="en-US" altLang="ja-JP" sz="1400"/>
            <a:t>33</a:t>
          </a:r>
          <a:r>
            <a:rPr kumimoji="1" lang="ja-JP" altLang="en-US" sz="1400"/>
            <a:t>人（＝</a:t>
          </a:r>
          <a:r>
            <a:rPr kumimoji="1" lang="en-US" altLang="ja-JP" sz="1400"/>
            <a:t>5+3+25</a:t>
          </a:r>
          <a:r>
            <a:rPr kumimoji="1" lang="ja-JP" altLang="en-US" sz="1400"/>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13</xdr:row>
      <xdr:rowOff>142874</xdr:rowOff>
    </xdr:from>
    <xdr:to>
      <xdr:col>12</xdr:col>
      <xdr:colOff>428625</xdr:colOff>
      <xdr:row>24</xdr:row>
      <xdr:rowOff>38099</xdr:rowOff>
    </xdr:to>
    <xdr:sp macro="" textlink="">
      <xdr:nvSpPr>
        <xdr:cNvPr id="2" name="左矢印吹き出し 1">
          <a:extLst>
            <a:ext uri="{FF2B5EF4-FFF2-40B4-BE49-F238E27FC236}">
              <a16:creationId xmlns:a16="http://schemas.microsoft.com/office/drawing/2014/main" id="{00000000-0008-0000-0200-000002000000}"/>
            </a:ext>
          </a:extLst>
        </xdr:cNvPr>
        <xdr:cNvSpPr/>
      </xdr:nvSpPr>
      <xdr:spPr>
        <a:xfrm>
          <a:off x="8229600" y="2752724"/>
          <a:ext cx="1666875" cy="1781175"/>
        </a:xfrm>
        <a:prstGeom prst="leftArrowCallou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不足している場合、「西暦</a:t>
          </a:r>
          <a:r>
            <a:rPr kumimoji="1" lang="en-US" altLang="ja-JP" sz="1100">
              <a:solidFill>
                <a:sysClr val="windowText" lastClr="000000"/>
              </a:solidFill>
            </a:rPr>
            <a:t>/</a:t>
          </a:r>
          <a:r>
            <a:rPr kumimoji="1" lang="ja-JP" altLang="en-US" sz="1100">
              <a:solidFill>
                <a:sysClr val="windowText" lastClr="000000"/>
              </a:solidFill>
            </a:rPr>
            <a:t>月</a:t>
          </a:r>
          <a:r>
            <a:rPr kumimoji="1" lang="en-US" altLang="ja-JP" sz="1100">
              <a:solidFill>
                <a:sysClr val="windowText" lastClr="000000"/>
              </a:solidFill>
            </a:rPr>
            <a:t>/</a:t>
          </a:r>
          <a:r>
            <a:rPr kumimoji="1" lang="ja-JP" altLang="en-US" sz="1100">
              <a:solidFill>
                <a:sysClr val="windowText" lastClr="000000"/>
              </a:solidFill>
            </a:rPr>
            <a:t>日」の形式で追加してください。</a:t>
          </a:r>
        </a:p>
      </xdr:txBody>
    </xdr:sp>
    <xdr:clientData/>
  </xdr:twoCellAnchor>
  <xdr:twoCellAnchor>
    <xdr:from>
      <xdr:col>10</xdr:col>
      <xdr:colOff>142875</xdr:colOff>
      <xdr:row>25</xdr:row>
      <xdr:rowOff>38100</xdr:rowOff>
    </xdr:from>
    <xdr:to>
      <xdr:col>12</xdr:col>
      <xdr:colOff>438150</xdr:colOff>
      <xdr:row>35</xdr:row>
      <xdr:rowOff>104775</xdr:rowOff>
    </xdr:to>
    <xdr:sp macro="" textlink="">
      <xdr:nvSpPr>
        <xdr:cNvPr id="3" name="左矢印吹き出し 2">
          <a:extLst>
            <a:ext uri="{FF2B5EF4-FFF2-40B4-BE49-F238E27FC236}">
              <a16:creationId xmlns:a16="http://schemas.microsoft.com/office/drawing/2014/main" id="{00000000-0008-0000-0200-000003000000}"/>
            </a:ext>
          </a:extLst>
        </xdr:cNvPr>
        <xdr:cNvSpPr/>
      </xdr:nvSpPr>
      <xdr:spPr>
        <a:xfrm>
          <a:off x="8239125" y="4705350"/>
          <a:ext cx="1666875" cy="1781175"/>
        </a:xfrm>
        <a:prstGeom prst="leftArrowCallou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a:solidFill>
                <a:sysClr val="windowText" lastClr="000000"/>
              </a:solidFill>
            </a:rPr>
            <a:t>12/29</a:t>
          </a:r>
          <a:r>
            <a:rPr kumimoji="1" lang="ja-JP" altLang="en-US" sz="1100">
              <a:solidFill>
                <a:sysClr val="windowText" lastClr="000000"/>
              </a:solidFill>
            </a:rPr>
            <a:t>～</a:t>
          </a:r>
          <a:r>
            <a:rPr kumimoji="1" lang="en-US" altLang="ja-JP" sz="1100">
              <a:solidFill>
                <a:sysClr val="windowText" lastClr="000000"/>
              </a:solidFill>
            </a:rPr>
            <a:t>1/3</a:t>
          </a:r>
          <a:r>
            <a:rPr kumimoji="1" lang="ja-JP" altLang="en-US" sz="1100">
              <a:solidFill>
                <a:sysClr val="windowText" lastClr="000000"/>
              </a:solidFill>
            </a:rPr>
            <a:t>のうち、土曜日がある場合は入力すること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302172</xdr:colOff>
      <xdr:row>23</xdr:row>
      <xdr:rowOff>45982</xdr:rowOff>
    </xdr:from>
    <xdr:to>
      <xdr:col>11</xdr:col>
      <xdr:colOff>505037</xdr:colOff>
      <xdr:row>30</xdr:row>
      <xdr:rowOff>157654</xdr:rowOff>
    </xdr:to>
    <xdr:sp macro="" textlink="">
      <xdr:nvSpPr>
        <xdr:cNvPr id="2" name="吹き出し: 四角形 1">
          <a:extLst>
            <a:ext uri="{FF2B5EF4-FFF2-40B4-BE49-F238E27FC236}">
              <a16:creationId xmlns:a16="http://schemas.microsoft.com/office/drawing/2014/main" id="{3F70AF02-0893-4860-A52B-71ADD814172D}"/>
            </a:ext>
          </a:extLst>
        </xdr:cNvPr>
        <xdr:cNvSpPr/>
      </xdr:nvSpPr>
      <xdr:spPr>
        <a:xfrm>
          <a:off x="14386034" y="4374930"/>
          <a:ext cx="2291796" cy="1307224"/>
        </a:xfrm>
        <a:prstGeom prst="wedgeRectCallout">
          <a:avLst>
            <a:gd name="adj1" fmla="val -38464"/>
            <a:gd name="adj2" fmla="val -8316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・療育支援加算数式追加。</a:t>
          </a:r>
          <a:endParaRPr kumimoji="1" lang="en-US" altLang="ja-JP" sz="1100"/>
        </a:p>
        <a:p>
          <a:pPr algn="l"/>
          <a:r>
            <a:rPr kumimoji="1" lang="ja-JP" altLang="en-US" sz="1100"/>
            <a:t>＝</a:t>
          </a:r>
          <a:r>
            <a:rPr kumimoji="1" lang="en-US" altLang="ja-JP" sz="1100"/>
            <a:t>G21</a:t>
          </a:r>
          <a:r>
            <a:rPr kumimoji="1" lang="ja-JP" altLang="en-US" sz="1100"/>
            <a:t>　→　イフ分岐を追加。</a:t>
          </a:r>
          <a:endParaRPr kumimoji="1" lang="en-US" altLang="ja-JP" sz="1100"/>
        </a:p>
        <a:p>
          <a:pPr algn="l"/>
          <a:r>
            <a:rPr kumimoji="1" lang="ja-JP" altLang="en-US" sz="1100"/>
            <a:t>・休日保育加算数式追加。</a:t>
          </a:r>
          <a:endParaRPr kumimoji="1" lang="en-US" altLang="ja-JP" sz="1100"/>
        </a:p>
        <a:p>
          <a:pPr algn="l"/>
          <a:r>
            <a:rPr kumimoji="1" lang="en-US" altLang="ja-JP" sz="1100"/>
            <a:t>=G15</a:t>
          </a:r>
        </a:p>
        <a:p>
          <a:pPr algn="l"/>
          <a:r>
            <a:rPr kumimoji="1" lang="ja-JP" altLang="en-US" sz="1100"/>
            <a:t>→</a:t>
          </a:r>
          <a:r>
            <a:rPr kumimoji="1" lang="en-US" altLang="ja-JP" sz="1100"/>
            <a:t>=IF(G16="×","×","○")</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33</xdr:col>
      <xdr:colOff>47625</xdr:colOff>
      <xdr:row>0</xdr:row>
      <xdr:rowOff>0</xdr:rowOff>
    </xdr:from>
    <xdr:to>
      <xdr:col>33</xdr:col>
      <xdr:colOff>4045323</xdr:colOff>
      <xdr:row>6</xdr:row>
      <xdr:rowOff>38100</xdr:rowOff>
    </xdr:to>
    <xdr:sp macro="" textlink="">
      <xdr:nvSpPr>
        <xdr:cNvPr id="6" name="正方形/長方形 5">
          <a:extLst>
            <a:ext uri="{FF2B5EF4-FFF2-40B4-BE49-F238E27FC236}">
              <a16:creationId xmlns:a16="http://schemas.microsoft.com/office/drawing/2014/main" id="{00000000-0008-0000-0500-000006000000}"/>
            </a:ext>
          </a:extLst>
        </xdr:cNvPr>
        <xdr:cNvSpPr/>
      </xdr:nvSpPr>
      <xdr:spPr>
        <a:xfrm>
          <a:off x="7499537" y="0"/>
          <a:ext cx="3997698" cy="118110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33</xdr:col>
      <xdr:colOff>66673</xdr:colOff>
      <xdr:row>7</xdr:row>
      <xdr:rowOff>38099</xdr:rowOff>
    </xdr:from>
    <xdr:to>
      <xdr:col>33</xdr:col>
      <xdr:colOff>4045323</xdr:colOff>
      <xdr:row>48</xdr:row>
      <xdr:rowOff>78441</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7518585" y="1371599"/>
          <a:ext cx="3978650" cy="7783607"/>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法人名・代表者名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給付係に登録した債権者と同一とすること。</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申請月</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申請月をドロップダウンから選択。様式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6</a:t>
          </a:r>
          <a:r>
            <a:rPr kumimoji="1" lang="ja-JP" altLang="en-US" sz="1000">
              <a:latin typeface="ＭＳ ゴシック" panose="020B0609070205080204" pitchFamily="49" charset="-128"/>
              <a:ea typeface="ＭＳ ゴシック" panose="020B0609070205080204" pitchFamily="49" charset="-128"/>
            </a:rPr>
            <a:t>全ての様式に反映される</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所在区・施設名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所在区→施設名の順に入力</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所在地</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施設所在地を記入</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利用定員</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前述の施設名を入れると自動出力。年度内途中で利用定員を変更した場合のみ、上書き修正すること</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判定</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個票を入力すると判定結果が表示される。申請・取得したい加算が正しく表示されているかを確認したうえで提出。誤ったまま提出した場合は加算が取得できない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solidFill>
                <a:srgbClr val="FF0000"/>
              </a:solidFill>
              <a:latin typeface="ＭＳ ゴシック" panose="020B0609070205080204" pitchFamily="49" charset="-128"/>
              <a:ea typeface="ＭＳ ゴシック" panose="020B0609070205080204" pitchFamily="49" charset="-128"/>
            </a:rPr>
            <a:t>※</a:t>
          </a:r>
          <a:r>
            <a:rPr kumimoji="1" lang="ja-JP" altLang="en-US" sz="1000">
              <a:solidFill>
                <a:srgbClr val="FF0000"/>
              </a:solidFill>
              <a:latin typeface="ＭＳ ゴシック" panose="020B0609070205080204" pitchFamily="49" charset="-128"/>
              <a:ea typeface="ＭＳ ゴシック" panose="020B0609070205080204" pitchFamily="49" charset="-128"/>
            </a:rPr>
            <a:t>　「土曜日に閉所する場合」については、備考欄に前月分の実績が表示。実績で変更があった場合、</a:t>
          </a:r>
          <a:r>
            <a:rPr kumimoji="1" lang="en-US" altLang="ja-JP" sz="1000">
              <a:solidFill>
                <a:srgbClr val="FF0000"/>
              </a:solidFill>
              <a:latin typeface="ＭＳ ゴシック" panose="020B0609070205080204" pitchFamily="49" charset="-128"/>
              <a:ea typeface="ＭＳ ゴシック" panose="020B0609070205080204" pitchFamily="49" charset="-128"/>
            </a:rPr>
            <a:t>4</a:t>
          </a:r>
          <a:r>
            <a:rPr kumimoji="1" lang="ja-JP" altLang="en-US" sz="1000">
              <a:solidFill>
                <a:srgbClr val="FF0000"/>
              </a:solidFill>
              <a:latin typeface="ＭＳ ゴシック" panose="020B0609070205080204" pitchFamily="49" charset="-128"/>
              <a:ea typeface="ＭＳ ゴシック" panose="020B0609070205080204" pitchFamily="49" charset="-128"/>
            </a:rPr>
            <a:t>月及び</a:t>
          </a:r>
          <a:r>
            <a:rPr kumimoji="1" lang="en-US" altLang="ja-JP" sz="1000">
              <a:solidFill>
                <a:srgbClr val="FF0000"/>
              </a:solidFill>
              <a:latin typeface="ＭＳ ゴシック" panose="020B0609070205080204" pitchFamily="49" charset="-128"/>
              <a:ea typeface="ＭＳ ゴシック" panose="020B0609070205080204" pitchFamily="49" charset="-128"/>
            </a:rPr>
            <a:t>3</a:t>
          </a:r>
          <a:r>
            <a:rPr kumimoji="1" lang="ja-JP" altLang="en-US" sz="1000">
              <a:solidFill>
                <a:srgbClr val="FF0000"/>
              </a:solidFill>
              <a:latin typeface="ＭＳ ゴシック" panose="020B0609070205080204" pitchFamily="49" charset="-128"/>
              <a:ea typeface="ＭＳ ゴシック" panose="020B0609070205080204" pitchFamily="49" charset="-128"/>
            </a:rPr>
            <a:t>月をのぞき、遡及変更申請扱いとなる。</a:t>
          </a:r>
          <a:endParaRPr kumimoji="1" lang="en-US" altLang="ja-JP" sz="1000">
            <a:solidFill>
              <a:srgbClr val="FF0000"/>
            </a:solidFill>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加算適用開始（変更）月</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加算を取得開始または変更した月を入力。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例１）</a:t>
          </a:r>
          <a:r>
            <a:rPr kumimoji="1" lang="en-US" altLang="ja-JP" sz="1000">
              <a:latin typeface="ＭＳ ゴシック" panose="020B0609070205080204" pitchFamily="49" charset="-128"/>
              <a:ea typeface="ＭＳ ゴシック" panose="020B0609070205080204" pitchFamily="49" charset="-128"/>
            </a:rPr>
            <a:t>8</a:t>
          </a:r>
          <a:r>
            <a:rPr kumimoji="1" lang="ja-JP" altLang="en-US" sz="1000">
              <a:latin typeface="ＭＳ ゴシック" panose="020B0609070205080204" pitchFamily="49" charset="-128"/>
              <a:ea typeface="ＭＳ ゴシック" panose="020B0609070205080204" pitchFamily="49" charset="-128"/>
            </a:rPr>
            <a:t>月分作成時：処遇改善等加算</a:t>
          </a:r>
          <a:r>
            <a:rPr kumimoji="1" lang="en-US" altLang="ja-JP" sz="1000">
              <a:latin typeface="ＭＳ ゴシック" panose="020B0609070205080204" pitchFamily="49" charset="-128"/>
              <a:ea typeface="ＭＳ ゴシック" panose="020B0609070205080204" pitchFamily="49" charset="-128"/>
            </a:rPr>
            <a:t>Ⅰ</a:t>
          </a:r>
          <a:r>
            <a:rPr kumimoji="1" lang="ja-JP" altLang="en-US" sz="1000">
              <a:latin typeface="ＭＳ ゴシック" panose="020B0609070205080204" pitchFamily="49" charset="-128"/>
              <a:ea typeface="ＭＳ ゴシック" panose="020B0609070205080204" pitchFamily="49" charset="-128"/>
            </a:rPr>
            <a:t>を</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月から取得</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　</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月から継続中のため「</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月」を選択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例２）</a:t>
          </a:r>
          <a:r>
            <a:rPr kumimoji="1" lang="en-US" altLang="ja-JP" sz="1000">
              <a:latin typeface="ＭＳ ゴシック" panose="020B0609070205080204" pitchFamily="49" charset="-128"/>
              <a:ea typeface="ＭＳ ゴシック" panose="020B0609070205080204" pitchFamily="49" charset="-128"/>
            </a:rPr>
            <a:t>8</a:t>
          </a:r>
          <a:r>
            <a:rPr kumimoji="1" lang="ja-JP" altLang="en-US" sz="1000">
              <a:latin typeface="ＭＳ ゴシック" panose="020B0609070205080204" pitchFamily="49" charset="-128"/>
              <a:ea typeface="ＭＳ ゴシック" panose="020B0609070205080204" pitchFamily="49" charset="-128"/>
            </a:rPr>
            <a:t>月分作成時：栄養管理加算</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月～</a:t>
          </a:r>
          <a:r>
            <a:rPr kumimoji="1" lang="en-US" altLang="ja-JP" sz="1000">
              <a:latin typeface="ＭＳ ゴシック" panose="020B0609070205080204" pitchFamily="49" charset="-128"/>
              <a:ea typeface="ＭＳ ゴシック" panose="020B0609070205080204" pitchFamily="49" charset="-128"/>
            </a:rPr>
            <a:t>B</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8</a:t>
          </a:r>
          <a:r>
            <a:rPr kumimoji="1" lang="ja-JP" altLang="en-US" sz="1000">
              <a:latin typeface="ＭＳ ゴシック" panose="020B0609070205080204" pitchFamily="49" charset="-128"/>
              <a:ea typeface="ＭＳ ゴシック" panose="020B0609070205080204" pitchFamily="49" charset="-128"/>
            </a:rPr>
            <a:t>月～</a:t>
          </a:r>
          <a:r>
            <a:rPr kumimoji="1" lang="en-US" altLang="ja-JP" sz="1000">
              <a:latin typeface="ＭＳ ゴシック" panose="020B0609070205080204" pitchFamily="49" charset="-128"/>
              <a:ea typeface="ＭＳ ゴシック" panose="020B0609070205080204" pitchFamily="49" charset="-128"/>
            </a:rPr>
            <a:t>A</a:t>
          </a:r>
        </a:p>
        <a:p>
          <a:pPr algn="l"/>
          <a:r>
            <a:rPr kumimoji="1" lang="ja-JP" altLang="en-US" sz="1000">
              <a:latin typeface="ＭＳ ゴシック" panose="020B0609070205080204" pitchFamily="49" charset="-128"/>
              <a:ea typeface="ＭＳ ゴシック" panose="020B0609070205080204" pitchFamily="49" charset="-128"/>
            </a:rPr>
            <a:t>　　→　</a:t>
          </a:r>
          <a:r>
            <a:rPr kumimoji="1" lang="en-US" altLang="ja-JP" sz="1000">
              <a:latin typeface="ＭＳ ゴシック" panose="020B0609070205080204" pitchFamily="49" charset="-128"/>
              <a:ea typeface="ＭＳ ゴシック" panose="020B0609070205080204" pitchFamily="49" charset="-128"/>
            </a:rPr>
            <a:t>8</a:t>
          </a:r>
          <a:r>
            <a:rPr kumimoji="1" lang="ja-JP" altLang="en-US" sz="1000">
              <a:latin typeface="ＭＳ ゴシック" panose="020B0609070205080204" pitchFamily="49" charset="-128"/>
              <a:ea typeface="ＭＳ ゴシック" panose="020B0609070205080204" pitchFamily="49" charset="-128"/>
            </a:rPr>
            <a:t>月から変更のため「</a:t>
          </a:r>
          <a:r>
            <a:rPr kumimoji="1" lang="en-US" altLang="ja-JP" sz="1000">
              <a:latin typeface="ＭＳ ゴシック" panose="020B0609070205080204" pitchFamily="49" charset="-128"/>
              <a:ea typeface="ＭＳ ゴシック" panose="020B0609070205080204" pitchFamily="49" charset="-128"/>
            </a:rPr>
            <a:t>8</a:t>
          </a:r>
          <a:r>
            <a:rPr kumimoji="1" lang="ja-JP" altLang="en-US" sz="1000">
              <a:latin typeface="ＭＳ ゴシック" panose="020B0609070205080204" pitchFamily="49" charset="-128"/>
              <a:ea typeface="ＭＳ ゴシック" panose="020B0609070205080204" pitchFamily="49" charset="-128"/>
            </a:rPr>
            <a:t>月」を選択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なお、未来の月を入れるとエラー表示。</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76200</xdr:colOff>
      <xdr:row>50</xdr:row>
      <xdr:rowOff>0</xdr:rowOff>
    </xdr:from>
    <xdr:to>
      <xdr:col>33</xdr:col>
      <xdr:colOff>4011706</xdr:colOff>
      <xdr:row>75</xdr:row>
      <xdr:rowOff>95250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7528112" y="9457765"/>
          <a:ext cx="3935506" cy="4981014"/>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基本配置職員</a:t>
          </a:r>
          <a:r>
            <a:rPr kumimoji="1" lang="en-US" altLang="ja-JP" sz="1000" b="1">
              <a:latin typeface="ＭＳ ゴシック" panose="020B0609070205080204" pitchFamily="49" charset="-128"/>
              <a:ea typeface="ＭＳ ゴシック" panose="020B0609070205080204" pitchFamily="49" charset="-128"/>
            </a:rPr>
            <a:t>】</a:t>
          </a: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をすべて入力すること。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は①～③のうちいずれか一つ選択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・分園は</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を選択すること。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・基本配置は公定価格の基本単価に含まれている費用のため、必ず満たすように配置すること</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満たさない配置はできない）</a:t>
          </a:r>
          <a:endParaRPr kumimoji="1" lang="en-US" altLang="ja-JP" sz="10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添付書類</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必要</a:t>
          </a:r>
          <a:endParaRPr lang="ja-JP" altLang="ja-JP" sz="1000">
            <a:effectLst/>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処遇改善等加算</a:t>
          </a:r>
          <a:r>
            <a:rPr kumimoji="1" lang="en-US" altLang="ja-JP" sz="1000" b="1">
              <a:latin typeface="ＭＳ ゴシック" panose="020B0609070205080204" pitchFamily="49" charset="-128"/>
              <a:ea typeface="ＭＳ ゴシック" panose="020B0609070205080204" pitchFamily="49" charset="-128"/>
            </a:rPr>
            <a:t>Ⅰ】</a:t>
          </a:r>
        </a:p>
        <a:p>
          <a:pPr algn="l"/>
          <a:r>
            <a:rPr kumimoji="1" lang="ja-JP" altLang="en-US" sz="1000">
              <a:latin typeface="ＭＳ ゴシック" panose="020B0609070205080204" pitchFamily="49" charset="-128"/>
              <a:ea typeface="ＭＳ ゴシック" panose="020B0609070205080204" pitchFamily="49" charset="-128"/>
            </a:rPr>
            <a:t>・申請する場合は「申請する」を選択。</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【3</a:t>
          </a:r>
          <a:r>
            <a:rPr kumimoji="1" lang="ja-JP" altLang="en-US" sz="1000" b="1">
              <a:latin typeface="ＭＳ ゴシック" panose="020B0609070205080204" pitchFamily="49" charset="-128"/>
              <a:ea typeface="ＭＳ ゴシック" panose="020B0609070205080204" pitchFamily="49" charset="-128"/>
            </a:rPr>
            <a:t>歳児配置改善加算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・申請する場合は「申請する」を選択。</a:t>
          </a: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様式</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で職員配置の充足を確認する。</a:t>
          </a:r>
        </a:p>
        <a:p>
          <a:pPr algn="l"/>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57150</xdr:colOff>
      <xdr:row>80</xdr:row>
      <xdr:rowOff>1</xdr:rowOff>
    </xdr:from>
    <xdr:to>
      <xdr:col>33</xdr:col>
      <xdr:colOff>4056529</xdr:colOff>
      <xdr:row>95</xdr:row>
      <xdr:rowOff>149087</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7287867" y="15297979"/>
          <a:ext cx="3999379" cy="419099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休日保育加算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の全ての要件に該当し、利用児童数表をすべて入力した場合加算</a:t>
          </a: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：実施体制の確認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　自園のみで休日保育を年間実施</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②　共同保育により、自園＋その他の園で休日保育を年間実施</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事前に運営係に相談・認定を受ける必要がある。</a:t>
          </a:r>
          <a:r>
            <a:rPr kumimoji="1" lang="en-US" altLang="ja-JP" sz="1000">
              <a:latin typeface="ＭＳ ゴシック" panose="020B0609070205080204" pitchFamily="49" charset="-128"/>
              <a:ea typeface="ＭＳ ゴシック" panose="020B0609070205080204" pitchFamily="49" charset="-128"/>
            </a:rPr>
            <a:t>)</a:t>
          </a:r>
        </a:p>
        <a:p>
          <a:pPr algn="l"/>
          <a:endParaRPr kumimoji="1" lang="ja-JP" altLang="en-US"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：職員配置</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・実施体制の確認</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別紙</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を記載</a:t>
          </a:r>
          <a:r>
            <a:rPr kumimoji="1" lang="en-US" altLang="ja-JP" sz="1000">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・月当たりの利用児童内訳を入力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：利用児童数表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　前年度延べ利用子ども数</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実績値を計上すること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②　当年度延べ利用子ども数</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前年度実績値をが自動入力される。</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直接入力も可能だが、留意事項通知上、前年度における実績等を踏まえて利用見込みを算出することとされている</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③　理由の記載　</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a:t>
          </a:r>
          <a:r>
            <a:rPr kumimoji="1" lang="en-US" altLang="ja-JP" sz="1000">
              <a:latin typeface="ＭＳ ゴシック" panose="020B0609070205080204" pitchFamily="49" charset="-128"/>
              <a:ea typeface="ＭＳ ゴシック" panose="020B0609070205080204" pitchFamily="49" charset="-128"/>
            </a:rPr>
            <a:t>※6</a:t>
          </a:r>
          <a:r>
            <a:rPr kumimoji="1" lang="ja-JP" altLang="en-US" sz="1000">
              <a:latin typeface="ＭＳ ゴシック" panose="020B0609070205080204" pitchFamily="49" charset="-128"/>
              <a:ea typeface="ＭＳ ゴシック" panose="020B0609070205080204" pitchFamily="49" charset="-128"/>
            </a:rPr>
            <a:t>のとおり、今年度の申し込み状況等に応じた見込とすることはできない。不適切な場合は理由の再記載又は当年度延べ利用子ども数の見直しを指示することがある。</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47625</xdr:colOff>
      <xdr:row>103</xdr:row>
      <xdr:rowOff>0</xdr:rowOff>
    </xdr:from>
    <xdr:to>
      <xdr:col>33</xdr:col>
      <xdr:colOff>4022912</xdr:colOff>
      <xdr:row>124</xdr:row>
      <xdr:rowOff>22412</xdr:rowOff>
    </xdr:to>
    <xdr:sp macro="" textlink="">
      <xdr:nvSpPr>
        <xdr:cNvPr id="10" name="正方形/長方形 9">
          <a:extLst>
            <a:ext uri="{FF2B5EF4-FFF2-40B4-BE49-F238E27FC236}">
              <a16:creationId xmlns:a16="http://schemas.microsoft.com/office/drawing/2014/main" id="{00000000-0008-0000-0500-00000A000000}"/>
            </a:ext>
          </a:extLst>
        </xdr:cNvPr>
        <xdr:cNvSpPr/>
      </xdr:nvSpPr>
      <xdr:spPr>
        <a:xfrm>
          <a:off x="7499537" y="22434176"/>
          <a:ext cx="3975287" cy="626408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減価償却費加算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・公定価格</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FAQ</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を参照。</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の全ての要件に該当する場合加算</a:t>
          </a: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：建物の自己所有の確認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：建物の整備・改修・取得する際に自己資金の発生</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：国庫補助金の交付を受けていない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取得又は増築する際に補助金を受けた場合は原則対象外。</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なお、①～③の一定要件を全て満たす場合は国庫補助を受けていても対象とするが、その際は事前に給付係まで相談すること。相談もなく①～③を○としても認定はしない。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　改修の必要性の認定</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老朽化等により建物全体を改修</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一部の改修・補強等は不可</a:t>
          </a:r>
          <a:r>
            <a:rPr kumimoji="1" lang="en-US" altLang="ja-JP" sz="1000">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②　①の回収について国庫補助を受けていない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③　②の改修費用の割合</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：賃借料加算の対象となっていないことの確認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添付書類必要</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賃借料</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の全ての要件に該当する場合加算</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建物が賃貸物件であること</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の確認</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賃借料が発生していることの確認</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：国庫補助金の交付を受けていない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詳しくは公定価格</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FAQ</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を参照</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添付書類必要</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64</xdr:col>
      <xdr:colOff>64993</xdr:colOff>
      <xdr:row>102</xdr:row>
      <xdr:rowOff>190499</xdr:rowOff>
    </xdr:from>
    <xdr:to>
      <xdr:col>71</xdr:col>
      <xdr:colOff>504264</xdr:colOff>
      <xdr:row>123</xdr:row>
      <xdr:rowOff>302558</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11371728" y="22310911"/>
          <a:ext cx="5224183" cy="6230471"/>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参考</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1">
              <a:latin typeface="ＭＳ ゴシック" panose="020B0609070205080204" pitchFamily="49" charset="-128"/>
              <a:ea typeface="ＭＳ ゴシック" panose="020B0609070205080204" pitchFamily="49" charset="-128"/>
            </a:rPr>
            <a:t>減価償却費加算についての公定価格</a:t>
          </a:r>
          <a:r>
            <a:rPr kumimoji="1" lang="en-US" altLang="ja-JP" sz="1000" b="1">
              <a:latin typeface="ＭＳ ゴシック" panose="020B0609070205080204" pitchFamily="49" charset="-128"/>
              <a:ea typeface="ＭＳ ゴシック" panose="020B0609070205080204" pitchFamily="49" charset="-128"/>
            </a:rPr>
            <a:t>FAQ</a:t>
          </a:r>
          <a:r>
            <a:rPr kumimoji="1" lang="ja-JP" altLang="en-US" sz="1000" b="1">
              <a:latin typeface="ＭＳ ゴシック" panose="020B0609070205080204" pitchFamily="49" charset="-128"/>
              <a:ea typeface="ＭＳ ゴシック" panose="020B0609070205080204" pitchFamily="49" charset="-128"/>
            </a:rPr>
            <a:t>について</a:t>
          </a:r>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抜粋</a:t>
          </a:r>
          <a:r>
            <a:rPr kumimoji="1" lang="en-US" altLang="ja-JP" sz="1000" b="1">
              <a:latin typeface="ＭＳ ゴシック" panose="020B0609070205080204" pitchFamily="49" charset="-128"/>
              <a:ea typeface="ＭＳ ゴシック" panose="020B0609070205080204" pitchFamily="49" charset="-128"/>
            </a:rPr>
            <a:t>〉</a:t>
          </a:r>
        </a:p>
        <a:p>
          <a:pPr algn="l"/>
          <a:r>
            <a:rPr kumimoji="1" lang="en-US" altLang="ja-JP" sz="1000" b="1">
              <a:latin typeface="ＭＳ ゴシック" panose="020B0609070205080204" pitchFamily="49" charset="-128"/>
              <a:ea typeface="ＭＳ ゴシック" panose="020B0609070205080204" pitchFamily="49" charset="-128"/>
            </a:rPr>
            <a:t>Q122</a:t>
          </a:r>
          <a:r>
            <a:rPr kumimoji="1" lang="ja-JP" altLang="en-US" sz="1000" b="1">
              <a:latin typeface="ＭＳ ゴシック" panose="020B0609070205080204" pitchFamily="49" charset="-128"/>
              <a:ea typeface="ＭＳ ゴシック" panose="020B0609070205080204" pitchFamily="49" charset="-128"/>
            </a:rPr>
            <a:t>　自己所有であることとは？</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a:t>
          </a:r>
          <a:r>
            <a:rPr kumimoji="1" lang="ja-JP" altLang="en-US" sz="1000" b="1">
              <a:latin typeface="ＭＳ ゴシック" panose="020B0609070205080204" pitchFamily="49" charset="-128"/>
              <a:ea typeface="ＭＳ ゴシック" panose="020B0609070205080204" pitchFamily="49" charset="-128"/>
            </a:rPr>
            <a:t>　</a:t>
          </a:r>
          <a:r>
            <a:rPr kumimoji="1" lang="ja-JP" altLang="en-US" sz="1000" b="0">
              <a:latin typeface="ＭＳ ゴシック" panose="020B0609070205080204" pitchFamily="49" charset="-128"/>
              <a:ea typeface="ＭＳ ゴシック" panose="020B0609070205080204" pitchFamily="49" charset="-128"/>
            </a:rPr>
            <a:t>建物の名義が事業主でなければいけません。例えば、事業主体が法人で、法人代表者の建物を使用している場合は、名義が異なりますので認定できません。</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なお、家庭的保育事業等は、建物が配偶者や生計を一にしている者の名義であるなど、社会通念上、要件の趣旨に反しないと判断される場合は認定して差し支えありません。</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Q128</a:t>
          </a:r>
          <a:r>
            <a:rPr kumimoji="1" lang="ja-JP" altLang="en-US" sz="1000" b="1">
              <a:latin typeface="ＭＳ ゴシック" panose="020B0609070205080204" pitchFamily="49" charset="-128"/>
              <a:ea typeface="ＭＳ ゴシック" panose="020B0609070205080204" pitchFamily="49" charset="-128"/>
            </a:rPr>
            <a:t>　国庫補助を受けていないの判定基準とは？</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a:t>
          </a:r>
          <a:r>
            <a:rPr kumimoji="1" lang="ja-JP" altLang="en-US" sz="1000" b="1">
              <a:latin typeface="ＭＳ ゴシック" panose="020B0609070205080204" pitchFamily="49" charset="-128"/>
              <a:ea typeface="ＭＳ ゴシック" panose="020B0609070205080204" pitchFamily="49" charset="-128"/>
            </a:rPr>
            <a:t>　</a:t>
          </a:r>
          <a:r>
            <a:rPr kumimoji="1" lang="ja-JP" altLang="en-US" sz="1000" b="0">
              <a:latin typeface="ＭＳ ゴシック" panose="020B0609070205080204" pitchFamily="49" charset="-128"/>
              <a:ea typeface="ＭＳ ゴシック" panose="020B0609070205080204" pitchFamily="49" charset="-128"/>
            </a:rPr>
            <a:t>以下のとおり</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①　保育所の場合</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減価償却費加算の適用の判断は施設ごとに行う。このため、建物の一部</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分園を含む</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でも整備補助金を受けている場合は対象外。</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無償譲渡を受けて実施、整備や建物の購入をしていない場合は対象外。</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　整備補助金に該当しないもの</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地方自治体の単独事業による整備補助金</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創設・増改築・改築・大規模修繕以外の補助金</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スプリンクラーの整備補助など</a:t>
          </a:r>
          <a:r>
            <a:rPr kumimoji="1" lang="en-US" altLang="ja-JP" sz="1000" b="0">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②　認定こども園の場合</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保育所部分について、①と同様に一部でも補助を受けている場合は対象外。</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このため、幼稚園部分のみを国補助を受けて整備し、保育所部分を自己資金で整備した場合は補助の対象となります。</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賃借料加算についての公定価格</a:t>
          </a:r>
          <a:r>
            <a:rPr kumimoji="1" lang="en-US" altLang="ja-JP" sz="1000" b="1">
              <a:latin typeface="ＭＳ ゴシック" panose="020B0609070205080204" pitchFamily="49" charset="-128"/>
              <a:ea typeface="ＭＳ ゴシック" panose="020B0609070205080204" pitchFamily="49" charset="-128"/>
            </a:rPr>
            <a:t>FAQ</a:t>
          </a:r>
          <a:r>
            <a:rPr kumimoji="1" lang="ja-JP" altLang="en-US" sz="1000" b="1">
              <a:latin typeface="ＭＳ ゴシック" panose="020B0609070205080204" pitchFamily="49" charset="-128"/>
              <a:ea typeface="ＭＳ ゴシック" panose="020B0609070205080204" pitchFamily="49" charset="-128"/>
            </a:rPr>
            <a:t>について</a:t>
          </a:r>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抜粋</a:t>
          </a:r>
          <a:r>
            <a:rPr kumimoji="1" lang="en-US" altLang="ja-JP" sz="1000" b="1">
              <a:latin typeface="ＭＳ ゴシック" panose="020B0609070205080204" pitchFamily="49" charset="-128"/>
              <a:ea typeface="ＭＳ ゴシック" panose="020B0609070205080204" pitchFamily="49" charset="-128"/>
            </a:rPr>
            <a:t>〉</a:t>
          </a:r>
        </a:p>
        <a:p>
          <a:pPr algn="l"/>
          <a:r>
            <a:rPr kumimoji="1" lang="en-US" altLang="ja-JP" sz="1000" b="1">
              <a:latin typeface="ＭＳ ゴシック" panose="020B0609070205080204" pitchFamily="49" charset="-128"/>
              <a:ea typeface="ＭＳ ゴシック" panose="020B0609070205080204" pitchFamily="49" charset="-128"/>
            </a:rPr>
            <a:t>Q124</a:t>
          </a:r>
          <a:r>
            <a:rPr kumimoji="1" lang="ja-JP" altLang="en-US" sz="1000" b="0">
              <a:latin typeface="ＭＳ ゴシック" panose="020B0609070205080204" pitchFamily="49" charset="-128"/>
              <a:ea typeface="ＭＳ ゴシック" panose="020B0609070205080204" pitchFamily="49" charset="-128"/>
            </a:rPr>
            <a:t>　</a:t>
          </a:r>
          <a:r>
            <a:rPr kumimoji="1" lang="ja-JP" altLang="en-US" sz="1000" b="1">
              <a:latin typeface="ＭＳ ゴシック" panose="020B0609070205080204" pitchFamily="49" charset="-128"/>
              <a:ea typeface="ＭＳ ゴシック" panose="020B0609070205080204" pitchFamily="49" charset="-128"/>
            </a:rPr>
            <a:t>国庫補助金の残額について</a:t>
          </a:r>
        </a:p>
        <a:p>
          <a:pPr algn="l"/>
          <a:r>
            <a:rPr kumimoji="1" lang="en-US" altLang="ja-JP" sz="1000" b="0">
              <a:latin typeface="ＭＳ ゴシック" panose="020B0609070205080204" pitchFamily="49" charset="-128"/>
              <a:ea typeface="ＭＳ ゴシック" panose="020B0609070205080204" pitchFamily="49" charset="-128"/>
            </a:rPr>
            <a:t>A</a:t>
          </a:r>
          <a:r>
            <a:rPr kumimoji="1" lang="ja-JP" altLang="en-US" sz="1000" b="0">
              <a:latin typeface="ＭＳ ゴシック" panose="020B0609070205080204" pitchFamily="49" charset="-128"/>
              <a:ea typeface="ＭＳ ゴシック" panose="020B0609070205080204" pitchFamily="49" charset="-128"/>
            </a:rPr>
            <a:t>　</a:t>
          </a:r>
          <a:r>
            <a:rPr kumimoji="1" lang="en-US" altLang="ja-JP" sz="1000" b="0">
              <a:latin typeface="ＭＳ ゴシック" panose="020B0609070205080204" pitchFamily="49" charset="-128"/>
              <a:ea typeface="ＭＳ ゴシック" panose="020B0609070205080204" pitchFamily="49" charset="-128"/>
            </a:rPr>
            <a:t>2021</a:t>
          </a:r>
          <a:r>
            <a:rPr kumimoji="1" lang="ja-JP" altLang="en-US" sz="1000" b="0">
              <a:latin typeface="ＭＳ ゴシック" panose="020B0609070205080204" pitchFamily="49" charset="-128"/>
              <a:ea typeface="ＭＳ ゴシック" panose="020B0609070205080204" pitchFamily="49" charset="-128"/>
            </a:rPr>
            <a:t>年</a:t>
          </a:r>
          <a:r>
            <a:rPr kumimoji="1" lang="en-US" altLang="ja-JP" sz="1000" b="0">
              <a:latin typeface="ＭＳ ゴシック" panose="020B0609070205080204" pitchFamily="49" charset="-128"/>
              <a:ea typeface="ＭＳ ゴシック" panose="020B0609070205080204" pitchFamily="49" charset="-128"/>
            </a:rPr>
            <a:t>4</a:t>
          </a:r>
          <a:r>
            <a:rPr kumimoji="1" lang="ja-JP" altLang="en-US" sz="1000" b="0">
              <a:latin typeface="ＭＳ ゴシック" panose="020B0609070205080204" pitchFamily="49" charset="-128"/>
              <a:ea typeface="ＭＳ ゴシック" panose="020B0609070205080204" pitchFamily="49" charset="-128"/>
            </a:rPr>
            <a:t>月時点で、本市に対象施設はありません。</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国庫補助基準額から礼金を差し引いた額を軽減前の各月の賃借料で除して得られた月数を経過するまでは残額が生じているものと判定する。</a:t>
          </a:r>
        </a:p>
        <a:p>
          <a:pPr algn="l"/>
          <a:r>
            <a:rPr kumimoji="1" lang="ja-JP" altLang="en-US" sz="1000" b="0">
              <a:latin typeface="ＭＳ ゴシック" panose="020B0609070205080204" pitchFamily="49" charset="-128"/>
              <a:ea typeface="ＭＳ ゴシック" panose="020B0609070205080204" pitchFamily="49" charset="-128"/>
            </a:rPr>
            <a:t>例）賃借料</a:t>
          </a:r>
          <a:r>
            <a:rPr kumimoji="1" lang="en-US" altLang="ja-JP" sz="1000" b="0">
              <a:latin typeface="ＭＳ ゴシック" panose="020B0609070205080204" pitchFamily="49" charset="-128"/>
              <a:ea typeface="ＭＳ ゴシック" panose="020B0609070205080204" pitchFamily="49" charset="-128"/>
            </a:rPr>
            <a:t>120</a:t>
          </a:r>
          <a:r>
            <a:rPr kumimoji="1" lang="ja-JP" altLang="en-US" sz="1000" b="0">
              <a:latin typeface="ＭＳ ゴシック" panose="020B0609070205080204" pitchFamily="49" charset="-128"/>
              <a:ea typeface="ＭＳ ゴシック" panose="020B0609070205080204" pitchFamily="49" charset="-128"/>
            </a:rPr>
            <a:t>万円</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月、礼金</a:t>
          </a:r>
          <a:r>
            <a:rPr kumimoji="1" lang="en-US" altLang="ja-JP" sz="1000" b="0">
              <a:latin typeface="ＭＳ ゴシック" panose="020B0609070205080204" pitchFamily="49" charset="-128"/>
              <a:ea typeface="ＭＳ ゴシック" panose="020B0609070205080204" pitchFamily="49" charset="-128"/>
            </a:rPr>
            <a:t>240</a:t>
          </a:r>
          <a:r>
            <a:rPr kumimoji="1" lang="ja-JP" altLang="en-US" sz="1000" b="0">
              <a:latin typeface="ＭＳ ゴシック" panose="020B0609070205080204" pitchFamily="49" charset="-128"/>
              <a:ea typeface="ＭＳ ゴシック" panose="020B0609070205080204" pitchFamily="49" charset="-128"/>
            </a:rPr>
            <a:t>万円、国庫補助基準額</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国</a:t>
          </a:r>
          <a:r>
            <a:rPr kumimoji="1" lang="en-US" altLang="ja-JP" sz="1000" b="0">
              <a:latin typeface="ＭＳ ゴシック" panose="020B0609070205080204" pitchFamily="49" charset="-128"/>
              <a:ea typeface="ＭＳ ゴシック" panose="020B0609070205080204" pitchFamily="49" charset="-128"/>
            </a:rPr>
            <a:t>1/2</a:t>
          </a:r>
          <a:r>
            <a:rPr kumimoji="1" lang="ja-JP" altLang="en-US" sz="1000" b="0">
              <a:latin typeface="ＭＳ ゴシック" panose="020B0609070205080204" pitchFamily="49" charset="-128"/>
              <a:ea typeface="ＭＳ ゴシック" panose="020B0609070205080204" pitchFamily="49" charset="-128"/>
            </a:rPr>
            <a:t>、地方自治体</a:t>
          </a:r>
          <a:r>
            <a:rPr kumimoji="1" lang="en-US" altLang="ja-JP" sz="1000" b="0">
              <a:latin typeface="ＭＳ ゴシック" panose="020B0609070205080204" pitchFamily="49" charset="-128"/>
              <a:ea typeface="ＭＳ ゴシック" panose="020B0609070205080204" pitchFamily="49" charset="-128"/>
            </a:rPr>
            <a:t>1/2)4100</a:t>
          </a:r>
          <a:r>
            <a:rPr kumimoji="1" lang="ja-JP" altLang="en-US" sz="1000" b="0">
              <a:latin typeface="ＭＳ ゴシック" panose="020B0609070205080204" pitchFamily="49" charset="-128"/>
              <a:ea typeface="ＭＳ ゴシック" panose="020B0609070205080204" pitchFamily="49" charset="-128"/>
            </a:rPr>
            <a:t>万円</a:t>
          </a:r>
        </a:p>
        <a:p>
          <a:pPr algn="l"/>
          <a:r>
            <a:rPr kumimoji="1" lang="ja-JP" altLang="en-US" sz="1000" b="0">
              <a:latin typeface="ＭＳ ゴシック" panose="020B0609070205080204" pitchFamily="49" charset="-128"/>
              <a:ea typeface="ＭＳ ゴシック" panose="020B0609070205080204" pitchFamily="49" charset="-128"/>
            </a:rPr>
            <a:t>→　（</a:t>
          </a:r>
          <a:r>
            <a:rPr kumimoji="1" lang="en-US" altLang="ja-JP" sz="1000" b="0">
              <a:latin typeface="ＭＳ ゴシック" panose="020B0609070205080204" pitchFamily="49" charset="-128"/>
              <a:ea typeface="ＭＳ ゴシック" panose="020B0609070205080204" pitchFamily="49" charset="-128"/>
            </a:rPr>
            <a:t>4100-240</a:t>
          </a:r>
          <a:r>
            <a:rPr kumimoji="1" lang="ja-JP" altLang="en-US" sz="1000" b="0">
              <a:latin typeface="ＭＳ ゴシック" panose="020B0609070205080204" pitchFamily="49" charset="-128"/>
              <a:ea typeface="ＭＳ ゴシック" panose="020B0609070205080204" pitchFamily="49" charset="-128"/>
            </a:rPr>
            <a:t>）</a:t>
          </a:r>
          <a:r>
            <a:rPr kumimoji="1" lang="en-US" altLang="ja-JP" sz="1000" b="0">
              <a:latin typeface="ＭＳ ゴシック" panose="020B0609070205080204" pitchFamily="49" charset="-128"/>
              <a:ea typeface="ＭＳ ゴシック" panose="020B0609070205080204" pitchFamily="49" charset="-128"/>
            </a:rPr>
            <a:t>÷120</a:t>
          </a:r>
          <a:r>
            <a:rPr kumimoji="1" lang="ja-JP" altLang="en-US" sz="1000" b="0">
              <a:latin typeface="ＭＳ ゴシック" panose="020B0609070205080204" pitchFamily="49" charset="-128"/>
              <a:ea typeface="ＭＳ ゴシック" panose="020B0609070205080204" pitchFamily="49" charset="-128"/>
            </a:rPr>
            <a:t>＝</a:t>
          </a:r>
          <a:r>
            <a:rPr kumimoji="1" lang="en-US" altLang="ja-JP" sz="1000" b="0">
              <a:latin typeface="ＭＳ ゴシック" panose="020B0609070205080204" pitchFamily="49" charset="-128"/>
              <a:ea typeface="ＭＳ ゴシック" panose="020B0609070205080204" pitchFamily="49" charset="-128"/>
            </a:rPr>
            <a:t>32.2≒33(</a:t>
          </a:r>
          <a:r>
            <a:rPr kumimoji="1" lang="ja-JP" altLang="en-US" sz="1000" b="0">
              <a:latin typeface="ＭＳ ゴシック" panose="020B0609070205080204" pitchFamily="49" charset="-128"/>
              <a:ea typeface="ＭＳ ゴシック" panose="020B0609070205080204" pitchFamily="49" charset="-128"/>
            </a:rPr>
            <a:t>端数切り上げ</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となるため</a:t>
          </a:r>
          <a:r>
            <a:rPr kumimoji="1" lang="en-US" altLang="ja-JP" sz="1000" b="0">
              <a:latin typeface="ＭＳ ゴシック" panose="020B0609070205080204" pitchFamily="49" charset="-128"/>
              <a:ea typeface="ＭＳ ゴシック" panose="020B0609070205080204" pitchFamily="49" charset="-128"/>
            </a:rPr>
            <a:t>34</a:t>
          </a:r>
          <a:r>
            <a:rPr kumimoji="1" lang="ja-JP" altLang="en-US" sz="1000" b="0">
              <a:latin typeface="ＭＳ ゴシック" panose="020B0609070205080204" pitchFamily="49" charset="-128"/>
              <a:ea typeface="ＭＳ ゴシック" panose="020B0609070205080204" pitchFamily="49" charset="-128"/>
            </a:rPr>
            <a:t>か月目から賃借料加算の適用が可能</a:t>
          </a:r>
        </a:p>
        <a:p>
          <a:pPr algn="l"/>
          <a:r>
            <a:rPr kumimoji="1" lang="ja-JP" altLang="en-US" sz="1000" b="0">
              <a:latin typeface="ＭＳ ゴシック" panose="020B0609070205080204" pitchFamily="49" charset="-128"/>
              <a:ea typeface="ＭＳ ゴシック" panose="020B0609070205080204" pitchFamily="49" charset="-128"/>
            </a:rPr>
            <a:t>　</a:t>
          </a: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　</a:t>
          </a:r>
          <a:endParaRPr kumimoji="1" lang="en-US" altLang="ja-JP" sz="1000" b="1">
            <a:latin typeface="ＭＳ ゴシック" panose="020B0609070205080204" pitchFamily="49" charset="-128"/>
            <a:ea typeface="ＭＳ ゴシック" panose="020B0609070205080204" pitchFamily="49" charset="-128"/>
          </a:endParaRPr>
        </a:p>
        <a:p>
          <a:pPr algn="l"/>
          <a:endParaRPr kumimoji="1"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47625</xdr:colOff>
      <xdr:row>126</xdr:row>
      <xdr:rowOff>89647</xdr:rowOff>
    </xdr:from>
    <xdr:to>
      <xdr:col>33</xdr:col>
      <xdr:colOff>4000500</xdr:colOff>
      <xdr:row>150</xdr:row>
      <xdr:rowOff>246529</xdr:rowOff>
    </xdr:to>
    <xdr:sp macro="" textlink="">
      <xdr:nvSpPr>
        <xdr:cNvPr id="12" name="正方形/長方形 11">
          <a:extLst>
            <a:ext uri="{FF2B5EF4-FFF2-40B4-BE49-F238E27FC236}">
              <a16:creationId xmlns:a16="http://schemas.microsoft.com/office/drawing/2014/main" id="{00000000-0008-0000-0500-00000C000000}"/>
            </a:ext>
          </a:extLst>
        </xdr:cNvPr>
        <xdr:cNvSpPr/>
      </xdr:nvSpPr>
      <xdr:spPr>
        <a:xfrm>
          <a:off x="7499537" y="29269765"/>
          <a:ext cx="3952875" cy="503144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チーム保育推進加算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の全ての要件に該当する場合加算</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：必要保育士数を超えて保育士を配置</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最低一人以上の余剰があるかを確認</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：チーム保育体制の確認</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で確認</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：処遇改善等加算</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Ⅰ(</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基礎分</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の平均年数が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年以上</a:t>
          </a:r>
          <a:endParaRPr lang="ja-JP" altLang="ja-JP" sz="1000">
            <a:effectLst/>
            <a:latin typeface="ＭＳ ゴシック" panose="020B0609070205080204" pitchFamily="49" charset="-128"/>
            <a:ea typeface="ＭＳ ゴシック" panose="020B0609070205080204" pitchFamily="49" charset="-128"/>
          </a:endParaRPr>
        </a:p>
        <a:p>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4</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：加算額を増員又は賃金改善に充てること</a:t>
          </a:r>
          <a:endParaRPr lang="ja-JP" altLang="ja-JP" sz="1000">
            <a:effectLst/>
            <a:latin typeface="ＭＳ ゴシック" panose="020B0609070205080204" pitchFamily="49" charset="-128"/>
            <a:ea typeface="ＭＳ ゴシック" panose="020B0609070205080204" pitchFamily="49" charset="-128"/>
          </a:endParaRPr>
        </a:p>
        <a:p>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　本加算は原則「増員に充てること」とし、増員に充ててもなお加算額に余剰等がある場合に限り賃金改善に充て</a:t>
          </a:r>
          <a:r>
            <a:rPr lang="ja-JP" altLang="en-US" sz="1000">
              <a:solidFill>
                <a:schemeClr val="dk1"/>
              </a:solidFill>
              <a:effectLst/>
              <a:latin typeface="ＭＳ ゴシック" panose="020B0609070205080204" pitchFamily="49" charset="-128"/>
              <a:ea typeface="ＭＳ ゴシック" panose="020B0609070205080204" pitchFamily="49" charset="-128"/>
              <a:cs typeface="+mn-cs"/>
            </a:rPr>
            <a:t>ること</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　また、「増員」とは要件</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の必要保育士数を超えて配置している余剰保育士を指すため、既に余剰保育士がいる場合は当該保育士の給与等に充当することが「増員に充てること」と同一の取扱いとな</a:t>
          </a:r>
          <a:r>
            <a:rPr lang="ja-JP" altLang="en-US" sz="1000">
              <a:solidFill>
                <a:schemeClr val="dk1"/>
              </a:solidFill>
              <a:effectLst/>
              <a:latin typeface="ＭＳ ゴシック" panose="020B0609070205080204" pitchFamily="49" charset="-128"/>
              <a:ea typeface="ＭＳ ゴシック" panose="020B0609070205080204" pitchFamily="49" charset="-128"/>
              <a:cs typeface="+mn-cs"/>
            </a:rPr>
            <a:t>る</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。なお、この増員に充てた費用とその他補助金</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人件費相当</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は重複でき</a:t>
          </a:r>
          <a:r>
            <a:rPr lang="ja-JP" altLang="en-US" sz="1000">
              <a:solidFill>
                <a:schemeClr val="dk1"/>
              </a:solidFill>
              <a:effectLst/>
              <a:latin typeface="ＭＳ ゴシック" panose="020B0609070205080204" pitchFamily="49" charset="-128"/>
              <a:ea typeface="ＭＳ ゴシック" panose="020B0609070205080204" pitchFamily="49" charset="-128"/>
              <a:cs typeface="+mn-cs"/>
            </a:rPr>
            <a:t>ない</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　加えて、「賃金改善」に充てた場合は、処遇改善等加算</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Ⅰ(</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賃金改善要件分</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、処遇改善等加算</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Ⅱ</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、その他補助金</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処遇改善相当</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と重複でき</a:t>
          </a:r>
          <a:r>
            <a:rPr lang="ja-JP" altLang="en-US" sz="1000">
              <a:solidFill>
                <a:schemeClr val="dk1"/>
              </a:solidFill>
              <a:effectLst/>
              <a:latin typeface="ＭＳ ゴシック" panose="020B0609070205080204" pitchFamily="49" charset="-128"/>
              <a:ea typeface="ＭＳ ゴシック" panose="020B0609070205080204" pitchFamily="49" charset="-128"/>
              <a:cs typeface="+mn-cs"/>
            </a:rPr>
            <a:t>ない</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①　増員に充てる場合</a:t>
          </a:r>
          <a:endParaRPr lang="ja-JP" altLang="ja-JP" sz="1000">
            <a:effectLst/>
            <a:latin typeface="ＭＳ ゴシック" panose="020B0609070205080204" pitchFamily="49" charset="-128"/>
            <a:ea typeface="ＭＳ ゴシック" panose="020B0609070205080204" pitchFamily="49" charset="-128"/>
          </a:endParaRPr>
        </a:p>
        <a:p>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　加算額を参考に、充当する余剰保育士数を入れ</a:t>
          </a:r>
          <a:r>
            <a:rPr lang="ja-JP" altLang="en-US" sz="1000">
              <a:solidFill>
                <a:schemeClr val="dk1"/>
              </a:solidFill>
              <a:effectLst/>
              <a:latin typeface="ＭＳ ゴシック" panose="020B0609070205080204" pitchFamily="49" charset="-128"/>
              <a:ea typeface="ＭＳ ゴシック" panose="020B0609070205080204" pitchFamily="49" charset="-128"/>
              <a:cs typeface="+mn-cs"/>
            </a:rPr>
            <a:t>ること</a:t>
          </a:r>
          <a:endParaRPr lang="ja-JP" altLang="ja-JP" sz="1000">
            <a:effectLst/>
            <a:latin typeface="ＭＳ ゴシック" panose="020B0609070205080204" pitchFamily="49" charset="-128"/>
            <a:ea typeface="ＭＳ ゴシック" panose="020B0609070205080204" pitchFamily="49" charset="-128"/>
          </a:endParaRPr>
        </a:p>
        <a:p>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②</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　賃金改善に充てる場合</a:t>
          </a:r>
          <a:endParaRPr lang="ja-JP" altLang="ja-JP" sz="1000">
            <a:effectLst/>
            <a:latin typeface="ＭＳ ゴシック" panose="020B0609070205080204" pitchFamily="49" charset="-128"/>
            <a:ea typeface="ＭＳ ゴシック" panose="020B0609070205080204" pitchFamily="49" charset="-128"/>
          </a:endParaRPr>
        </a:p>
        <a:p>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　具体的な配分方法を記載してください。</a:t>
          </a:r>
          <a:endParaRPr lang="ja-JP" altLang="ja-JP" sz="1000">
            <a:effectLst/>
            <a:latin typeface="ＭＳ ゴシック" panose="020B0609070205080204" pitchFamily="49" charset="-128"/>
            <a:ea typeface="ＭＳ ゴシック" panose="020B0609070205080204" pitchFamily="49" charset="-128"/>
          </a:endParaRPr>
        </a:p>
        <a:p>
          <a:pPr algn="l"/>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副食費徴収免除加算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・必ず全施設に適用されます。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分園の場合</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・分園がある場合自動選択されます。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33</xdr:col>
      <xdr:colOff>38099</xdr:colOff>
      <xdr:row>187</xdr:row>
      <xdr:rowOff>0</xdr:rowOff>
    </xdr:from>
    <xdr:to>
      <xdr:col>33</xdr:col>
      <xdr:colOff>4056528</xdr:colOff>
      <xdr:row>218</xdr:row>
      <xdr:rowOff>123266</xdr:rowOff>
    </xdr:to>
    <xdr:sp macro="" textlink="">
      <xdr:nvSpPr>
        <xdr:cNvPr id="13" name="正方形/長方形 12">
          <a:extLst>
            <a:ext uri="{FF2B5EF4-FFF2-40B4-BE49-F238E27FC236}">
              <a16:creationId xmlns:a16="http://schemas.microsoft.com/office/drawing/2014/main" id="{00000000-0008-0000-0500-00000D000000}"/>
            </a:ext>
          </a:extLst>
        </xdr:cNvPr>
        <xdr:cNvSpPr/>
      </xdr:nvSpPr>
      <xdr:spPr>
        <a:xfrm>
          <a:off x="7490011" y="42784059"/>
          <a:ext cx="4018429" cy="6028766"/>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定員を恒常的に超過する場合</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・年度開始月に必ず作成し提出すること。</a:t>
          </a:r>
        </a:p>
        <a:p>
          <a:pPr algn="l"/>
          <a:r>
            <a:rPr kumimoji="1" lang="ja-JP" altLang="en-US" sz="1000" b="0">
              <a:latin typeface="ＭＳ ゴシック" panose="020B0609070205080204" pitchFamily="49" charset="-128"/>
              <a:ea typeface="ＭＳ ゴシック" panose="020B0609070205080204" pitchFamily="49" charset="-128"/>
            </a:rPr>
            <a:t>・未入力の場合は「未入力」又は「減算適用」と判定されます。</a:t>
          </a:r>
        </a:p>
        <a:p>
          <a:pPr algn="l"/>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：施設型給付認定開始月</a:t>
          </a:r>
        </a:p>
        <a:p>
          <a:pPr algn="l"/>
          <a:r>
            <a:rPr kumimoji="1" lang="ja-JP" altLang="en-US" sz="1000" b="0">
              <a:latin typeface="ＭＳ ゴシック" panose="020B0609070205080204" pitchFamily="49" charset="-128"/>
              <a:ea typeface="ＭＳ ゴシック" panose="020B0609070205080204" pitchFamily="49" charset="-128"/>
            </a:rPr>
            <a:t>　施設型給付費</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委託費</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を受けるようになった開始月を選択。施設型給付の受給を開始した年月を西暦で入力すること。なお、本制度は平成</a:t>
          </a:r>
          <a:r>
            <a:rPr kumimoji="1" lang="en-US" altLang="ja-JP" sz="1000" b="0">
              <a:latin typeface="ＭＳ ゴシック" panose="020B0609070205080204" pitchFamily="49" charset="-128"/>
              <a:ea typeface="ＭＳ ゴシック" panose="020B0609070205080204" pitchFamily="49" charset="-128"/>
            </a:rPr>
            <a:t>27</a:t>
          </a:r>
          <a:r>
            <a:rPr kumimoji="1" lang="ja-JP" altLang="en-US" sz="1000" b="0">
              <a:latin typeface="ＭＳ ゴシック" panose="020B0609070205080204" pitchFamily="49" charset="-128"/>
              <a:ea typeface="ＭＳ ゴシック" panose="020B0609070205080204" pitchFamily="49" charset="-128"/>
            </a:rPr>
            <a:t>（</a:t>
          </a:r>
          <a:r>
            <a:rPr kumimoji="1" lang="en-US" altLang="ja-JP" sz="1000" b="0">
              <a:latin typeface="ＭＳ ゴシック" panose="020B0609070205080204" pitchFamily="49" charset="-128"/>
              <a:ea typeface="ＭＳ ゴシック" panose="020B0609070205080204" pitchFamily="49" charset="-128"/>
            </a:rPr>
            <a:t>2015</a:t>
          </a:r>
          <a:r>
            <a:rPr kumimoji="1" lang="ja-JP" altLang="en-US" sz="1000" b="0">
              <a:latin typeface="ＭＳ ゴシック" panose="020B0609070205080204" pitchFamily="49" charset="-128"/>
              <a:ea typeface="ＭＳ ゴシック" panose="020B0609070205080204" pitchFamily="49" charset="-128"/>
            </a:rPr>
            <a:t>）年</a:t>
          </a:r>
          <a:r>
            <a:rPr kumimoji="1" lang="en-US" altLang="ja-JP" sz="1000" b="0">
              <a:latin typeface="ＭＳ ゴシック" panose="020B0609070205080204" pitchFamily="49" charset="-128"/>
              <a:ea typeface="ＭＳ ゴシック" panose="020B0609070205080204" pitchFamily="49" charset="-128"/>
            </a:rPr>
            <a:t>4</a:t>
          </a:r>
          <a:r>
            <a:rPr kumimoji="1" lang="ja-JP" altLang="en-US" sz="1000" b="0">
              <a:latin typeface="ＭＳ ゴシック" panose="020B0609070205080204" pitchFamily="49" charset="-128"/>
              <a:ea typeface="ＭＳ ゴシック" panose="020B0609070205080204" pitchFamily="49" charset="-128"/>
            </a:rPr>
            <a:t>月から開始されましたので、それ以降の年月を入力することになります。</a:t>
          </a:r>
        </a:p>
        <a:p>
          <a:pPr algn="l"/>
          <a:endParaRPr kumimoji="1" lang="ja-JP" altLang="en-US"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：月初日利用定員</a:t>
          </a:r>
        </a:p>
        <a:p>
          <a:pPr algn="l"/>
          <a:r>
            <a:rPr kumimoji="1" lang="ja-JP" altLang="en-US" sz="1000" b="0">
              <a:latin typeface="ＭＳ ゴシック" panose="020B0609070205080204" pitchFamily="49" charset="-128"/>
              <a:ea typeface="ＭＳ ゴシック" panose="020B0609070205080204" pitchFamily="49" charset="-128"/>
            </a:rPr>
            <a:t>　現在の利用定員が自動引用されています。定員変更等があった場合は上書き修正してください。</a:t>
          </a:r>
        </a:p>
        <a:p>
          <a:pPr algn="l"/>
          <a:endParaRPr kumimoji="1" lang="ja-JP" altLang="en-US"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：月初日在籍子ども数</a:t>
          </a:r>
        </a:p>
        <a:p>
          <a:pPr algn="l"/>
          <a:r>
            <a:rPr kumimoji="1" lang="ja-JP" altLang="en-US" sz="1000" b="0">
              <a:latin typeface="ＭＳ ゴシック" panose="020B0609070205080204" pitchFamily="49" charset="-128"/>
              <a:ea typeface="ＭＳ ゴシック" panose="020B0609070205080204" pitchFamily="49" charset="-128"/>
            </a:rPr>
            <a:t>　月初日の児童数</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市内、市外問わない</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を入力してください。　</a:t>
          </a:r>
        </a:p>
        <a:p>
          <a:pPr algn="l"/>
          <a:endParaRPr kumimoji="1" lang="ja-JP" altLang="en-US"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減算は年度単位で適用されます。ただし、運営係等と協議を行い、利用定員の見直し等で定員超過が解消される見込みが立った場合は、減算を翌月から解除いたします。その場合は「減算解除要件」に実施状況を入力してください。</a:t>
          </a:r>
        </a:p>
        <a:p>
          <a:pPr algn="l"/>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：協議年月日</a:t>
          </a:r>
        </a:p>
        <a:p>
          <a:pPr algn="l"/>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子ども未来局と協議した年月日を記載してください。なお、定員を見直した場合は、協議年月日と定員変更日を一致させてください。</a:t>
          </a:r>
        </a:p>
        <a:p>
          <a:pPr algn="l"/>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例）●●年</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月から定員変更→協議年月日●●年</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月</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日</a:t>
          </a:r>
        </a:p>
        <a:p>
          <a:pPr algn="l"/>
          <a:endPar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：見直し内容</a:t>
          </a:r>
        </a:p>
        <a:p>
          <a:pPr algn="l"/>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定員見直し又は受入れ人数見直しのどちらかを選択してください。</a:t>
          </a:r>
        </a:p>
        <a:p>
          <a:pPr algn="l"/>
          <a:endPar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：協議先</a:t>
          </a:r>
        </a:p>
        <a:p>
          <a:pPr algn="l"/>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協議を行った相手先を記載してください（施設整備担当など）</a:t>
          </a:r>
        </a:p>
        <a:p>
          <a:pPr algn="l"/>
          <a:endPar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減算解除開始月に別紙</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月に別紙</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を提出してください。</a:t>
          </a:r>
        </a:p>
        <a:p>
          <a:pPr algn="l"/>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別紙</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により、定員超過が解消させていないことが判明した場合は、遡及して減算が適用されます。</a:t>
          </a:r>
        </a:p>
        <a:p>
          <a:pPr algn="l"/>
          <a:endPar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33</xdr:col>
      <xdr:colOff>60512</xdr:colOff>
      <xdr:row>247</xdr:row>
      <xdr:rowOff>56030</xdr:rowOff>
    </xdr:from>
    <xdr:to>
      <xdr:col>33</xdr:col>
      <xdr:colOff>4045323</xdr:colOff>
      <xdr:row>263</xdr:row>
      <xdr:rowOff>67235</xdr:rowOff>
    </xdr:to>
    <xdr:sp macro="" textlink="">
      <xdr:nvSpPr>
        <xdr:cNvPr id="14" name="正方形/長方形 13">
          <a:extLst>
            <a:ext uri="{FF2B5EF4-FFF2-40B4-BE49-F238E27FC236}">
              <a16:creationId xmlns:a16="http://schemas.microsoft.com/office/drawing/2014/main" id="{00000000-0008-0000-0500-00000E000000}"/>
            </a:ext>
          </a:extLst>
        </xdr:cNvPr>
        <xdr:cNvSpPr/>
      </xdr:nvSpPr>
      <xdr:spPr>
        <a:xfrm>
          <a:off x="7512424" y="57418942"/>
          <a:ext cx="3984811" cy="514349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療育支援加算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の全ての要件を満たす場合加算</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主任保育士</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専任加算の取得</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･･･自動引用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補助者の配置</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で選択すること。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：障がい児相談等の取組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認定開始月は挙証書類の種類によって異なります。</a:t>
          </a:r>
        </a:p>
        <a:p>
          <a:endParaRPr lang="en-US" altLang="ja-JP" sz="1000">
            <a:effectLst/>
            <a:latin typeface="ＭＳ ゴシック" panose="020B0609070205080204" pitchFamily="49" charset="-128"/>
            <a:ea typeface="ＭＳ ゴシック" panose="020B0609070205080204" pitchFamily="49" charset="-128"/>
          </a:endParaRPr>
        </a:p>
        <a:p>
          <a:r>
            <a:rPr lang="en-US" altLang="ja-JP" sz="1000">
              <a:effectLst/>
              <a:latin typeface="ＭＳ ゴシック" panose="020B0609070205080204" pitchFamily="49" charset="-128"/>
              <a:ea typeface="ＭＳ ゴシック" panose="020B0609070205080204" pitchFamily="49" charset="-128"/>
            </a:rPr>
            <a:t>4</a:t>
          </a:r>
          <a:r>
            <a:rPr lang="ja-JP" altLang="en-US" sz="1000">
              <a:effectLst/>
              <a:latin typeface="ＭＳ ゴシック" panose="020B0609070205080204" pitchFamily="49" charset="-128"/>
              <a:ea typeface="ＭＳ ゴシック" panose="020B0609070205080204" pitchFamily="49" charset="-128"/>
            </a:rPr>
            <a:t>：</a:t>
          </a:r>
          <a:r>
            <a:rPr lang="ja-JP" altLang="en-US" sz="1000">
              <a:solidFill>
                <a:srgbClr val="FF0000"/>
              </a:solidFill>
              <a:effectLst/>
              <a:latin typeface="ＭＳ ゴシック" panose="020B0609070205080204" pitchFamily="49" charset="-128"/>
              <a:ea typeface="ＭＳ ゴシック" panose="020B0609070205080204" pitchFamily="49" charset="-128"/>
            </a:rPr>
            <a:t>月初日の</a:t>
          </a:r>
          <a:r>
            <a:rPr lang="ja-JP" altLang="en-US" sz="1000">
              <a:effectLst/>
              <a:latin typeface="ＭＳ ゴシック" panose="020B0609070205080204" pitchFamily="49" charset="-128"/>
              <a:ea typeface="ＭＳ ゴシック" panose="020B0609070205080204" pitchFamily="49" charset="-128"/>
            </a:rPr>
            <a:t>障がい児数</a:t>
          </a:r>
          <a:endParaRPr lang="en-US" altLang="ja-JP" sz="1000">
            <a:effectLst/>
            <a:latin typeface="ＭＳ ゴシック" panose="020B0609070205080204" pitchFamily="49" charset="-128"/>
            <a:ea typeface="ＭＳ ゴシック" panose="020B0609070205080204" pitchFamily="49" charset="-128"/>
          </a:endParaRPr>
        </a:p>
        <a:p>
          <a:r>
            <a:rPr lang="ja-JP" altLang="en-US" sz="1000">
              <a:effectLst/>
              <a:latin typeface="ＭＳ ゴシック" panose="020B0609070205080204" pitchFamily="49" charset="-128"/>
              <a:ea typeface="ＭＳ ゴシック" panose="020B0609070205080204" pitchFamily="49" charset="-128"/>
            </a:rPr>
            <a:t>　①　特別児童扶養手当（中～重度の児童に支給される手当。保護者の申請が必要。）</a:t>
          </a:r>
          <a:endParaRPr lang="en-US" altLang="ja-JP" sz="1000">
            <a:effectLst/>
            <a:latin typeface="ＭＳ ゴシック" panose="020B0609070205080204" pitchFamily="49" charset="-128"/>
            <a:ea typeface="ＭＳ ゴシック" panose="020B0609070205080204" pitchFamily="49" charset="-128"/>
          </a:endParaRPr>
        </a:p>
        <a:p>
          <a:r>
            <a:rPr lang="ja-JP" altLang="en-US" sz="1000">
              <a:effectLst/>
              <a:latin typeface="ＭＳ ゴシック" panose="020B0609070205080204" pitchFamily="49" charset="-128"/>
              <a:ea typeface="ＭＳ ゴシック" panose="020B0609070205080204" pitchFamily="49" charset="-128"/>
            </a:rPr>
            <a:t>　②　①以外の障がい児</a:t>
          </a:r>
          <a:endParaRPr lang="en-US"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添付書類必要</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事務職員雇上費</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の全ての要件を満たす場合加算</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職員配置</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要件は</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0</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基本配置職員</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事務職員と同様</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事業要件</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つ以上実施していること</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p>
        <a:p>
          <a:r>
            <a:rPr lang="ja-JP" altLang="en-US" sz="1000">
              <a:effectLst/>
              <a:latin typeface="ＭＳ ゴシック" panose="020B0609070205080204" pitchFamily="49" charset="-128"/>
              <a:ea typeface="ＭＳ ゴシック" panose="020B0609070205080204" pitchFamily="49" charset="-128"/>
            </a:rPr>
            <a:t>　主任保育士専任加算の事業要件と同様の内容です。</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添付書類必要</a:t>
          </a:r>
          <a:endParaRPr lang="ja-JP" altLang="ja-JP" sz="1000">
            <a:effectLst/>
            <a:latin typeface="ＭＳ ゴシック" panose="020B0609070205080204" pitchFamily="49" charset="-128"/>
            <a:ea typeface="ＭＳ ゴシック" panose="020B0609070205080204" pitchFamily="49" charset="-128"/>
          </a:endParaRPr>
        </a:p>
        <a:p>
          <a:endParaRPr lang="ja-JP" altLang="ja-JP" sz="1000">
            <a:effectLst/>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38100</xdr:colOff>
      <xdr:row>289</xdr:row>
      <xdr:rowOff>33618</xdr:rowOff>
    </xdr:from>
    <xdr:to>
      <xdr:col>33</xdr:col>
      <xdr:colOff>4045323</xdr:colOff>
      <xdr:row>313</xdr:row>
      <xdr:rowOff>85725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7490012" y="68692059"/>
          <a:ext cx="4007223" cy="5688666"/>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処遇改善等加算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Ⅱ】</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栄養管理加算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を全て記載する場合加算</a:t>
          </a: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：栄養士の活用</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栄養士を調理員として雇用し、調理員としてのみ活用している場合は該当しません。</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認定開始月は挙証書類の種類によって異なります。</a:t>
          </a:r>
        </a:p>
        <a:p>
          <a:endPar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：栄養士の配置</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①は様式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からの自動引用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なお、雇用契約等については、直接雇用もしくは派遣契約が想定され、外部委託は含みません。</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②は該当する場合選択</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いずれも該当する場合は一番単価の高い区分が選択されます。</a:t>
          </a: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添付書類必要</a:t>
          </a:r>
        </a:p>
        <a:p>
          <a:endPar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ja-JP" altLang="en-US" sz="1000">
              <a:latin typeface="ＭＳ ゴシック" panose="020B0609070205080204" pitchFamily="49" charset="-128"/>
              <a:ea typeface="ＭＳ ゴシック" panose="020B0609070205080204" pitchFamily="49" charset="-128"/>
            </a:rPr>
            <a:t>　</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64</xdr:col>
      <xdr:colOff>95250</xdr:colOff>
      <xdr:row>80</xdr:row>
      <xdr:rowOff>14568</xdr:rowOff>
    </xdr:from>
    <xdr:to>
      <xdr:col>71</xdr:col>
      <xdr:colOff>549088</xdr:colOff>
      <xdr:row>98</xdr:row>
      <xdr:rowOff>56030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11401985" y="15310597"/>
          <a:ext cx="5238750" cy="6294345"/>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参考</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1">
              <a:latin typeface="ＭＳ ゴシック" panose="020B0609070205080204" pitchFamily="49" charset="-128"/>
              <a:ea typeface="ＭＳ ゴシック" panose="020B0609070205080204" pitchFamily="49" charset="-128"/>
            </a:rPr>
            <a:t>児童福祉施設の設備及び運営に関する基準</a:t>
          </a:r>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抜粋</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1">
              <a:latin typeface="ＭＳ ゴシック" panose="020B0609070205080204" pitchFamily="49" charset="-128"/>
              <a:ea typeface="ＭＳ ゴシック" panose="020B0609070205080204" pitchFamily="49" charset="-128"/>
            </a:rPr>
            <a:t>第</a:t>
          </a:r>
          <a:r>
            <a:rPr kumimoji="1" lang="en-US" altLang="ja-JP" sz="1000" b="1">
              <a:latin typeface="ＭＳ ゴシック" panose="020B0609070205080204" pitchFamily="49" charset="-128"/>
              <a:ea typeface="ＭＳ ゴシック" panose="020B0609070205080204" pitchFamily="49" charset="-128"/>
            </a:rPr>
            <a:t>33</a:t>
          </a:r>
          <a:r>
            <a:rPr kumimoji="1" lang="ja-JP" altLang="en-US" sz="1000" b="1">
              <a:latin typeface="ＭＳ ゴシック" panose="020B0609070205080204" pitchFamily="49" charset="-128"/>
              <a:ea typeface="ＭＳ ゴシック" panose="020B0609070205080204" pitchFamily="49" charset="-128"/>
            </a:rPr>
            <a:t>条</a:t>
          </a:r>
          <a:r>
            <a:rPr kumimoji="1" lang="en-US" altLang="ja-JP" sz="1000" b="1">
              <a:latin typeface="ＭＳ ゴシック" panose="020B0609070205080204" pitchFamily="49" charset="-128"/>
              <a:ea typeface="ＭＳ ゴシック" panose="020B0609070205080204" pitchFamily="49" charset="-128"/>
            </a:rPr>
            <a:t>2</a:t>
          </a:r>
          <a:r>
            <a:rPr kumimoji="1" lang="ja-JP" altLang="en-US" sz="1000" b="1">
              <a:latin typeface="ＭＳ ゴシック" panose="020B0609070205080204" pitchFamily="49" charset="-128"/>
              <a:ea typeface="ＭＳ ゴシック" panose="020B0609070205080204" pitchFamily="49" charset="-128"/>
            </a:rPr>
            <a:t>項</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保育士の数は、乳児おおむね</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人につき</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人以上、満</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歳以上満</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歳に満たない幼児おおむね</a:t>
          </a:r>
          <a:r>
            <a:rPr kumimoji="1" lang="en-US" altLang="ja-JP" sz="1000" b="0">
              <a:latin typeface="ＭＳ ゴシック" panose="020B0609070205080204" pitchFamily="49" charset="-128"/>
              <a:ea typeface="ＭＳ ゴシック" panose="020B0609070205080204" pitchFamily="49" charset="-128"/>
            </a:rPr>
            <a:t>6</a:t>
          </a:r>
          <a:r>
            <a:rPr kumimoji="1" lang="ja-JP" altLang="en-US" sz="1000" b="0">
              <a:latin typeface="ＭＳ ゴシック" panose="020B0609070205080204" pitchFamily="49" charset="-128"/>
              <a:ea typeface="ＭＳ ゴシック" panose="020B0609070205080204" pitchFamily="49" charset="-128"/>
            </a:rPr>
            <a:t>人につき</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人以上、満</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歳以上満</a:t>
          </a:r>
          <a:r>
            <a:rPr kumimoji="1" lang="en-US" altLang="ja-JP" sz="1000" b="0">
              <a:latin typeface="ＭＳ ゴシック" panose="020B0609070205080204" pitchFamily="49" charset="-128"/>
              <a:ea typeface="ＭＳ ゴシック" panose="020B0609070205080204" pitchFamily="49" charset="-128"/>
            </a:rPr>
            <a:t>4</a:t>
          </a:r>
          <a:r>
            <a:rPr kumimoji="1" lang="ja-JP" altLang="en-US" sz="1000" b="0">
              <a:latin typeface="ＭＳ ゴシック" panose="020B0609070205080204" pitchFamily="49" charset="-128"/>
              <a:ea typeface="ＭＳ ゴシック" panose="020B0609070205080204" pitchFamily="49" charset="-128"/>
            </a:rPr>
            <a:t>歳に満たない幼児おおむね</a:t>
          </a:r>
          <a:r>
            <a:rPr kumimoji="1" lang="en-US" altLang="ja-JP" sz="1000" b="0">
              <a:latin typeface="ＭＳ ゴシック" panose="020B0609070205080204" pitchFamily="49" charset="-128"/>
              <a:ea typeface="ＭＳ ゴシック" panose="020B0609070205080204" pitchFamily="49" charset="-128"/>
            </a:rPr>
            <a:t>20</a:t>
          </a:r>
          <a:r>
            <a:rPr kumimoji="1" lang="ja-JP" altLang="en-US" sz="1000" b="0">
              <a:latin typeface="ＭＳ ゴシック" panose="020B0609070205080204" pitchFamily="49" charset="-128"/>
              <a:ea typeface="ＭＳ ゴシック" panose="020B0609070205080204" pitchFamily="49" charset="-128"/>
            </a:rPr>
            <a:t>人につき</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人以上、満</a:t>
          </a:r>
          <a:r>
            <a:rPr kumimoji="1" lang="en-US" altLang="ja-JP" sz="1000" b="0">
              <a:latin typeface="ＭＳ ゴシック" panose="020B0609070205080204" pitchFamily="49" charset="-128"/>
              <a:ea typeface="ＭＳ ゴシック" panose="020B0609070205080204" pitchFamily="49" charset="-128"/>
            </a:rPr>
            <a:t>4</a:t>
          </a:r>
          <a:r>
            <a:rPr kumimoji="1" lang="ja-JP" altLang="en-US" sz="1000" b="0">
              <a:latin typeface="ＭＳ ゴシック" panose="020B0609070205080204" pitchFamily="49" charset="-128"/>
              <a:ea typeface="ＭＳ ゴシック" panose="020B0609070205080204" pitchFamily="49" charset="-128"/>
            </a:rPr>
            <a:t>歳以上の幼児おおむね</a:t>
          </a:r>
          <a:r>
            <a:rPr kumimoji="1" lang="en-US" altLang="ja-JP" sz="1000" b="0">
              <a:latin typeface="ＭＳ ゴシック" panose="020B0609070205080204" pitchFamily="49" charset="-128"/>
              <a:ea typeface="ＭＳ ゴシック" panose="020B0609070205080204" pitchFamily="49" charset="-128"/>
            </a:rPr>
            <a:t>30</a:t>
          </a:r>
          <a:r>
            <a:rPr kumimoji="1" lang="ja-JP" altLang="en-US" sz="1000" b="0">
              <a:latin typeface="ＭＳ ゴシック" panose="020B0609070205080204" pitchFamily="49" charset="-128"/>
              <a:ea typeface="ＭＳ ゴシック" panose="020B0609070205080204" pitchFamily="49" charset="-128"/>
            </a:rPr>
            <a:t>人につき</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人以上とする。ただし、保育所</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につき</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人を下ることはできない。</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附則</a:t>
          </a:r>
          <a:r>
            <a:rPr kumimoji="1" lang="en-US" altLang="ja-JP" sz="1000" b="1">
              <a:latin typeface="ＭＳ ゴシック" panose="020B0609070205080204" pitchFamily="49" charset="-128"/>
              <a:ea typeface="ＭＳ ゴシック" panose="020B0609070205080204" pitchFamily="49" charset="-128"/>
            </a:rPr>
            <a:t>94</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　</a:t>
          </a:r>
          <a:r>
            <a:rPr kumimoji="1" lang="en-US" altLang="ja-JP" sz="1000" b="0">
              <a:latin typeface="ＭＳ ゴシック" panose="020B0609070205080204" pitchFamily="49" charset="-128"/>
              <a:ea typeface="ＭＳ ゴシック" panose="020B0609070205080204" pitchFamily="49" charset="-128"/>
            </a:rPr>
            <a:t>&lt;</a:t>
          </a:r>
          <a:r>
            <a:rPr kumimoji="1" lang="ja-JP" altLang="en-US" sz="1000" b="0">
              <a:latin typeface="ＭＳ ゴシック" panose="020B0609070205080204" pitchFamily="49" charset="-128"/>
              <a:ea typeface="ＭＳ ゴシック" panose="020B0609070205080204" pitchFamily="49" charset="-128"/>
            </a:rPr>
            <a:t>一部省略</a:t>
          </a:r>
          <a:r>
            <a:rPr kumimoji="1" lang="en-US" altLang="ja-JP" sz="1000" b="0">
              <a:latin typeface="ＭＳ ゴシック" panose="020B0609070205080204" pitchFamily="49" charset="-128"/>
              <a:ea typeface="ＭＳ ゴシック" panose="020B0609070205080204" pitchFamily="49" charset="-128"/>
            </a:rPr>
            <a:t>&gt;</a:t>
          </a:r>
        </a:p>
        <a:p>
          <a:pPr algn="l"/>
          <a:r>
            <a:rPr kumimoji="1" lang="ja-JP" altLang="en-US" sz="1000" b="0">
              <a:latin typeface="ＭＳ ゴシック" panose="020B0609070205080204" pitchFamily="49" charset="-128"/>
              <a:ea typeface="ＭＳ ゴシック" panose="020B0609070205080204" pitchFamily="49" charset="-128"/>
            </a:rPr>
            <a:t>　当分の間、第</a:t>
          </a:r>
          <a:r>
            <a:rPr kumimoji="1" lang="en-US" altLang="ja-JP" sz="1000" b="0">
              <a:latin typeface="ＭＳ ゴシック" panose="020B0609070205080204" pitchFamily="49" charset="-128"/>
              <a:ea typeface="ＭＳ ゴシック" panose="020B0609070205080204" pitchFamily="49" charset="-128"/>
            </a:rPr>
            <a:t>33</a:t>
          </a:r>
          <a:r>
            <a:rPr kumimoji="1" lang="ja-JP" altLang="en-US" sz="1000" b="0">
              <a:latin typeface="ＭＳ ゴシック" panose="020B0609070205080204" pitchFamily="49" charset="-128"/>
              <a:ea typeface="ＭＳ ゴシック" panose="020B0609070205080204" pitchFamily="49" charset="-128"/>
            </a:rPr>
            <a:t>条第</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項ただし書きの規定を適用しないことができる。この場合において、同行本文の規定により必要な保育士が</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人となるときは、当該保育士に加えて、指定都市市長が保育士と同等の知識及び経験を有すると認めるものを置かなければならない。</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附則</a:t>
          </a:r>
          <a:r>
            <a:rPr kumimoji="1" lang="en-US" altLang="ja-JP" sz="1000" b="1">
              <a:latin typeface="ＭＳ ゴシック" panose="020B0609070205080204" pitchFamily="49" charset="-128"/>
              <a:ea typeface="ＭＳ ゴシック" panose="020B0609070205080204" pitchFamily="49" charset="-128"/>
            </a:rPr>
            <a:t>95</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前条の事情に鑑み、当分の間、第</a:t>
          </a:r>
          <a:r>
            <a:rPr kumimoji="1" lang="en-US" altLang="ja-JP" sz="1000" b="0">
              <a:latin typeface="ＭＳ ゴシック" panose="020B0609070205080204" pitchFamily="49" charset="-128"/>
              <a:ea typeface="ＭＳ ゴシック" panose="020B0609070205080204" pitchFamily="49" charset="-128"/>
            </a:rPr>
            <a:t>33</a:t>
          </a:r>
          <a:r>
            <a:rPr kumimoji="1" lang="ja-JP" altLang="en-US" sz="1000" b="0">
              <a:latin typeface="ＭＳ ゴシック" panose="020B0609070205080204" pitchFamily="49" charset="-128"/>
              <a:ea typeface="ＭＳ ゴシック" panose="020B0609070205080204" pitchFamily="49" charset="-128"/>
            </a:rPr>
            <a:t>条第</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項に規定する保育士の数の算定については、幼稚園教諭もしくは小学校教諭又は養護教諭の普通免許状を有するものを、保育士とみなすことができる。</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附則</a:t>
          </a:r>
          <a:r>
            <a:rPr kumimoji="1" lang="en-US" altLang="ja-JP" sz="1000" b="1">
              <a:latin typeface="ＭＳ ゴシック" panose="020B0609070205080204" pitchFamily="49" charset="-128"/>
              <a:ea typeface="ＭＳ ゴシック" panose="020B0609070205080204" pitchFamily="49" charset="-128"/>
            </a:rPr>
            <a:t>96</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第</a:t>
          </a:r>
          <a:r>
            <a:rPr kumimoji="1" lang="en-US" altLang="ja-JP" sz="1000" b="0">
              <a:latin typeface="ＭＳ ゴシック" panose="020B0609070205080204" pitchFamily="49" charset="-128"/>
              <a:ea typeface="ＭＳ ゴシック" panose="020B0609070205080204" pitchFamily="49" charset="-128"/>
            </a:rPr>
            <a:t>94</a:t>
          </a:r>
          <a:r>
            <a:rPr kumimoji="1" lang="ja-JP" altLang="en-US" sz="1000" b="0">
              <a:latin typeface="ＭＳ ゴシック" panose="020B0609070205080204" pitchFamily="49" charset="-128"/>
              <a:ea typeface="ＭＳ ゴシック" panose="020B0609070205080204" pitchFamily="49" charset="-128"/>
            </a:rPr>
            <a:t>条の事情に鑑み、当分の間、</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日に月</a:t>
          </a:r>
          <a:r>
            <a:rPr kumimoji="1" lang="en-US" altLang="ja-JP" sz="1000" b="0">
              <a:latin typeface="ＭＳ ゴシック" panose="020B0609070205080204" pitchFamily="49" charset="-128"/>
              <a:ea typeface="ＭＳ ゴシック" panose="020B0609070205080204" pitchFamily="49" charset="-128"/>
            </a:rPr>
            <a:t>8</a:t>
          </a:r>
          <a:r>
            <a:rPr kumimoji="1" lang="ja-JP" altLang="en-US" sz="1000" b="0">
              <a:latin typeface="ＭＳ ゴシック" panose="020B0609070205080204" pitchFamily="49" charset="-128"/>
              <a:ea typeface="ＭＳ ゴシック" panose="020B0609070205080204" pitchFamily="49" charset="-128"/>
            </a:rPr>
            <a:t>時間を超えて開所する保育所において、開所時間を通じて必要となる保育士の総数が、当該保育所に係る利用定員の総数に応じて置かなければならない保育士の数を超える数の算定については、指定都市市長が保育士と同等の知識及び経験を有すると認めるものを、開所時間を通じて必要となる保育士の総数から利用定員の総数に応じて置かなければならない保育士の数を差し引いて得た数の範囲で、保育士とみなすことができる。</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附則</a:t>
          </a:r>
          <a:r>
            <a:rPr kumimoji="1" lang="en-US" altLang="ja-JP" sz="1000" b="1">
              <a:latin typeface="ＭＳ ゴシック" panose="020B0609070205080204" pitchFamily="49" charset="-128"/>
              <a:ea typeface="ＭＳ ゴシック" panose="020B0609070205080204" pitchFamily="49" charset="-128"/>
            </a:rPr>
            <a:t>97</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前</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条の規定を適用するときは、保育士を、保育士の数（前</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条の規定の適用が無いとした場合の第</a:t>
          </a:r>
          <a:r>
            <a:rPr kumimoji="1" lang="en-US" altLang="ja-JP" sz="1000" b="0">
              <a:latin typeface="ＭＳ ゴシック" panose="020B0609070205080204" pitchFamily="49" charset="-128"/>
              <a:ea typeface="ＭＳ ゴシック" panose="020B0609070205080204" pitchFamily="49" charset="-128"/>
            </a:rPr>
            <a:t>33</a:t>
          </a:r>
          <a:r>
            <a:rPr kumimoji="1" lang="ja-JP" altLang="en-US" sz="1000" b="0">
              <a:latin typeface="ＭＳ ゴシック" panose="020B0609070205080204" pitchFamily="49" charset="-128"/>
              <a:ea typeface="ＭＳ ゴシック" panose="020B0609070205080204" pitchFamily="49" charset="-128"/>
            </a:rPr>
            <a:t>条第</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項により算定されるものをいう）の</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分の</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以上、置かなければならない。</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児童福祉施設最低基準等の一部を改正する省令</a:t>
          </a:r>
          <a:r>
            <a:rPr kumimoji="1" lang="en-US" altLang="ja-JP" sz="1000" b="1">
              <a:latin typeface="ＭＳ ゴシック" panose="020B0609070205080204" pitchFamily="49" charset="-128"/>
              <a:ea typeface="ＭＳ ゴシック" panose="020B0609070205080204" pitchFamily="49" charset="-128"/>
            </a:rPr>
            <a:t>&lt;</a:t>
          </a:r>
          <a:r>
            <a:rPr kumimoji="1" lang="ja-JP" altLang="en-US" sz="1000" b="1">
              <a:latin typeface="ＭＳ ゴシック" panose="020B0609070205080204" pitchFamily="49" charset="-128"/>
              <a:ea typeface="ＭＳ ゴシック" panose="020B0609070205080204" pitchFamily="49" charset="-128"/>
            </a:rPr>
            <a:t>抜粋</a:t>
          </a:r>
          <a:r>
            <a:rPr kumimoji="1" lang="en-US" altLang="ja-JP" sz="1000" b="1">
              <a:latin typeface="ＭＳ ゴシック" panose="020B0609070205080204" pitchFamily="49" charset="-128"/>
              <a:ea typeface="ＭＳ ゴシック" panose="020B0609070205080204" pitchFamily="49" charset="-128"/>
            </a:rPr>
            <a:t>&gt;</a:t>
          </a:r>
        </a:p>
        <a:p>
          <a:pPr algn="l"/>
          <a:r>
            <a:rPr kumimoji="1" lang="ja-JP" altLang="en-US" sz="1000" b="1">
              <a:latin typeface="ＭＳ ゴシック" panose="020B0609070205080204" pitchFamily="49" charset="-128"/>
              <a:ea typeface="ＭＳ ゴシック" panose="020B0609070205080204" pitchFamily="49" charset="-128"/>
            </a:rPr>
            <a:t>附則第</a:t>
          </a:r>
          <a:r>
            <a:rPr kumimoji="1" lang="en-US" altLang="ja-JP" sz="1000" b="1">
              <a:latin typeface="ＭＳ ゴシック" panose="020B0609070205080204" pitchFamily="49" charset="-128"/>
              <a:ea typeface="ＭＳ ゴシック" panose="020B0609070205080204" pitchFamily="49" charset="-128"/>
            </a:rPr>
            <a:t>2</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乳児</a:t>
          </a:r>
          <a:r>
            <a:rPr kumimoji="1" lang="en-US" altLang="ja-JP" sz="1000" b="0">
              <a:latin typeface="ＭＳ ゴシック" panose="020B0609070205080204" pitchFamily="49" charset="-128"/>
              <a:ea typeface="ＭＳ ゴシック" panose="020B0609070205080204" pitchFamily="49" charset="-128"/>
            </a:rPr>
            <a:t>4</a:t>
          </a:r>
          <a:r>
            <a:rPr kumimoji="1" lang="ja-JP" altLang="en-US" sz="1000" b="0">
              <a:latin typeface="ＭＳ ゴシック" panose="020B0609070205080204" pitchFamily="49" charset="-128"/>
              <a:ea typeface="ＭＳ ゴシック" panose="020B0609070205080204" pitchFamily="49" charset="-128"/>
            </a:rPr>
            <a:t>人以上を入所させる保育所にかかる改正後の第</a:t>
          </a:r>
          <a:r>
            <a:rPr kumimoji="1" lang="en-US" altLang="ja-JP" sz="1000" b="0">
              <a:latin typeface="ＭＳ ゴシック" panose="020B0609070205080204" pitchFamily="49" charset="-128"/>
              <a:ea typeface="ＭＳ ゴシック" panose="020B0609070205080204" pitchFamily="49" charset="-128"/>
            </a:rPr>
            <a:t>33</a:t>
          </a:r>
          <a:r>
            <a:rPr kumimoji="1" lang="ja-JP" altLang="en-US" sz="1000" b="0">
              <a:latin typeface="ＭＳ ゴシック" panose="020B0609070205080204" pitchFamily="49" charset="-128"/>
              <a:ea typeface="ＭＳ ゴシック" panose="020B0609070205080204" pitchFamily="49" charset="-128"/>
            </a:rPr>
            <a:t>条第</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項に規定する保育士の数の算定については、当分の間、当該保育所に勤務する保健師、看護師又は准看護師を</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人に限って、保育士とみなすことができる。</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44823</xdr:colOff>
      <xdr:row>152</xdr:row>
      <xdr:rowOff>33619</xdr:rowOff>
    </xdr:from>
    <xdr:to>
      <xdr:col>33</xdr:col>
      <xdr:colOff>4045323</xdr:colOff>
      <xdr:row>185</xdr:row>
      <xdr:rowOff>224118</xdr:rowOff>
    </xdr:to>
    <xdr:sp macro="" textlink="">
      <xdr:nvSpPr>
        <xdr:cNvPr id="17" name="正方形/長方形 16">
          <a:extLst>
            <a:ext uri="{FF2B5EF4-FFF2-40B4-BE49-F238E27FC236}">
              <a16:creationId xmlns:a16="http://schemas.microsoft.com/office/drawing/2014/main" id="{00000000-0008-0000-0500-000011000000}"/>
            </a:ext>
          </a:extLst>
        </xdr:cNvPr>
        <xdr:cNvSpPr/>
      </xdr:nvSpPr>
      <xdr:spPr>
        <a:xfrm>
          <a:off x="7496735" y="34592560"/>
          <a:ext cx="4000500" cy="7597587"/>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施設長を配置していない場合</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の要件を</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すべて満たす場合：</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（減算しない）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一つでも満たさない場合：○（減算する）</a:t>
          </a: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：従事経験の確認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　児童福祉事業の経験が</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年以上あること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②</a:t>
          </a:r>
          <a:r>
            <a:rPr kumimoji="1" lang="ja-JP" altLang="en-US" sz="1000">
              <a:latin typeface="ＭＳ ゴシック" panose="020B0609070205080204" pitchFamily="49" charset="-128"/>
              <a:ea typeface="ＭＳ ゴシック" panose="020B0609070205080204" pitchFamily="49" charset="-128"/>
            </a:rPr>
            <a:t>　①を満たさない場合、厚労省等から委託を受けた所長研修を受けていること</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都道府県が実施するの所長研修は不可</a:t>
          </a:r>
          <a:r>
            <a:rPr kumimoji="1" lang="en-US" altLang="ja-JP" sz="1000">
              <a:latin typeface="ＭＳ ゴシック" panose="020B0609070205080204" pitchFamily="49" charset="-128"/>
              <a:ea typeface="ＭＳ ゴシック" panose="020B0609070205080204" pitchFamily="49" charset="-128"/>
            </a:rPr>
            <a:t>)</a:t>
          </a:r>
          <a:endParaRPr kumimoji="1" lang="ja-JP" altLang="en-US"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③　②の研修を現時点では受けていないが、年度内に受講する予定の場合</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特例措置</a:t>
          </a:r>
          <a:r>
            <a:rPr kumimoji="1" lang="en-US" altLang="ja-JP" sz="1000">
              <a:latin typeface="ＭＳ ゴシック" panose="020B0609070205080204" pitchFamily="49" charset="-128"/>
              <a:ea typeface="ＭＳ ゴシック" panose="020B0609070205080204" pitchFamily="49" charset="-128"/>
            </a:rPr>
            <a:t>)</a:t>
          </a: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：常時専従の確認</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：委託費からの給与支出の確認</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：所長の配置</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様式</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で確認</a:t>
          </a:r>
          <a:r>
            <a:rPr kumimoji="1" lang="en-US" altLang="ja-JP" sz="1000">
              <a:latin typeface="ＭＳ ゴシック" panose="020B0609070205080204" pitchFamily="49" charset="-128"/>
              <a:ea typeface="ＭＳ ゴシック" panose="020B0609070205080204" pitchFamily="49" charset="-128"/>
            </a:rPr>
            <a:t>)</a:t>
          </a: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別紙</a:t>
          </a:r>
          <a:r>
            <a:rPr kumimoji="1" lang="en-US" altLang="ja-JP" sz="1000">
              <a:latin typeface="ＭＳ ゴシック" panose="020B0609070205080204" pitchFamily="49" charset="-128"/>
              <a:ea typeface="ＭＳ ゴシック" panose="020B0609070205080204" pitchFamily="49" charset="-128"/>
            </a:rPr>
            <a:t>1-1</a:t>
          </a:r>
          <a:r>
            <a:rPr kumimoji="1" lang="ja-JP" altLang="en-US" sz="1000">
              <a:latin typeface="ＭＳ ゴシック" panose="020B0609070205080204" pitchFamily="49" charset="-128"/>
              <a:ea typeface="ＭＳ ゴシック" panose="020B0609070205080204" pitchFamily="49" charset="-128"/>
            </a:rPr>
            <a:t>：経歴書</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別紙</a:t>
          </a:r>
          <a:r>
            <a:rPr kumimoji="1" lang="en-US" altLang="ja-JP" sz="1000">
              <a:latin typeface="ＭＳ ゴシック" panose="020B0609070205080204" pitchFamily="49" charset="-128"/>
              <a:ea typeface="ＭＳ ゴシック" panose="020B0609070205080204" pitchFamily="49" charset="-128"/>
            </a:rPr>
            <a:t>1-2</a:t>
          </a:r>
          <a:r>
            <a:rPr kumimoji="1" lang="ja-JP" altLang="en-US" sz="1000">
              <a:latin typeface="ＭＳ ゴシック" panose="020B0609070205080204" pitchFamily="49" charset="-128"/>
              <a:ea typeface="ＭＳ ゴシック" panose="020B0609070205080204" pitchFamily="49" charset="-128"/>
            </a:rPr>
            <a:t>：園長等の兼務実態確認。同一法人で複数施設又は事業を実施している場合は作成すること。</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添付書類必要</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土曜日に閉所する場合</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en-US" sz="1000" b="1">
              <a:solidFill>
                <a:srgbClr val="FF0000"/>
              </a:solidFill>
              <a:effectLst/>
              <a:latin typeface="ＭＳ ゴシック" panose="020B0609070205080204" pitchFamily="49" charset="-128"/>
              <a:ea typeface="ＭＳ ゴシック" panose="020B0609070205080204" pitchFamily="49" charset="-128"/>
              <a:cs typeface="+mn-cs"/>
            </a:rPr>
            <a:t>・毎月作成すること。</a:t>
          </a:r>
          <a:endParaRPr kumimoji="1" lang="en-US" altLang="ja-JP" sz="1000" b="1">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・別紙</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により主に確認する。</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・当月については見込みで認定し、翌月に実績に報告すること。また、見込みと実績に差異があった場合は実績により精算を行う。ただし、</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月分については実績確認を行わない。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・減算区分は「</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日」「</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日」「</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日以上」「全て」の</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区分</a:t>
          </a: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33</xdr:col>
      <xdr:colOff>38100</xdr:colOff>
      <xdr:row>220</xdr:row>
      <xdr:rowOff>33616</xdr:rowOff>
    </xdr:from>
    <xdr:to>
      <xdr:col>33</xdr:col>
      <xdr:colOff>4056529</xdr:colOff>
      <xdr:row>243</xdr:row>
      <xdr:rowOff>1199030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7490012" y="49104175"/>
          <a:ext cx="4018429" cy="6544237"/>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主任保育士専任加算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の全ての要件を満たす場合加算</a:t>
          </a:r>
        </a:p>
        <a:p>
          <a:pPr algn="l"/>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：主幹教諭と代替教諭の配置</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からの自動引用です。様式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で、「主任保育士」と「主任代替保育士」を</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名ずつ選択してください。</a:t>
          </a:r>
        </a:p>
        <a:p>
          <a:pPr algn="l"/>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：地域の子育て支援等の確認</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認定開始月は挙証書類の種類によって異なります。</a:t>
          </a:r>
          <a:endParaRPr kumimoji="1" lang="en-US" altLang="ja-JP" sz="1000">
            <a:solidFill>
              <a:srgbClr val="FF0000"/>
            </a:solidFill>
            <a:effectLst/>
            <a:latin typeface="ＭＳ ゴシック" panose="020B0609070205080204" pitchFamily="49" charset="-128"/>
            <a:ea typeface="ＭＳ ゴシック" panose="020B0609070205080204" pitchFamily="49" charset="-128"/>
            <a:cs typeface="+mn-cs"/>
          </a:endParaRPr>
        </a:p>
        <a:p>
          <a:pPr algn="l"/>
          <a:endPar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：事業要件</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つ以上実施していること</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p>
        <a:p>
          <a:pPr algn="l"/>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①</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延長保育</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運営係に実施協議書を提出し、実施の承認を得ていることが必要です。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②　一時預かり</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人</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月以上になった月から該当。ただし、</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月から適用になった場合のみ</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月から認定。</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③　病児保育</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本市には該当施設はありません。</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④　乳児</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(0</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歳児</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月初日時点で</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0</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歳児が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人以上になった月を選択</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⑤　障がい児</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月初日時点で</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障がい児が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人以上になった月を選択</a:t>
          </a:r>
        </a:p>
        <a:p>
          <a:pPr algn="l"/>
          <a:endPar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添付書類必要</a:t>
          </a:r>
        </a:p>
        <a:p>
          <a:pPr algn="l"/>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34</xdr:col>
      <xdr:colOff>676275</xdr:colOff>
      <xdr:row>5</xdr:row>
      <xdr:rowOff>161925</xdr:rowOff>
    </xdr:from>
    <xdr:to>
      <xdr:col>37</xdr:col>
      <xdr:colOff>238125</xdr:colOff>
      <xdr:row>8</xdr:row>
      <xdr:rowOff>19050</xdr:rowOff>
    </xdr:to>
    <xdr:sp macro="" textlink="">
      <xdr:nvSpPr>
        <xdr:cNvPr id="21" name="吹き出し: 四角形 20">
          <a:extLst>
            <a:ext uri="{FF2B5EF4-FFF2-40B4-BE49-F238E27FC236}">
              <a16:creationId xmlns:a16="http://schemas.microsoft.com/office/drawing/2014/main" id="{1F935F7A-573B-4DAA-B442-4261FCB7CBF9}"/>
            </a:ext>
          </a:extLst>
        </xdr:cNvPr>
        <xdr:cNvSpPr/>
      </xdr:nvSpPr>
      <xdr:spPr>
        <a:xfrm>
          <a:off x="12106275" y="1114425"/>
          <a:ext cx="1657350" cy="428625"/>
        </a:xfrm>
        <a:prstGeom prst="wedgeRectCallout">
          <a:avLst>
            <a:gd name="adj1" fmla="val 20043"/>
            <a:gd name="adj2" fmla="val -202019"/>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作業　年度の更新</a:t>
          </a:r>
        </a:p>
      </xdr:txBody>
    </xdr:sp>
    <xdr:clientData/>
  </xdr:twoCellAnchor>
  <xdr:twoCellAnchor>
    <xdr:from>
      <xdr:col>34</xdr:col>
      <xdr:colOff>459441</xdr:colOff>
      <xdr:row>171</xdr:row>
      <xdr:rowOff>145675</xdr:rowOff>
    </xdr:from>
    <xdr:to>
      <xdr:col>42</xdr:col>
      <xdr:colOff>76200</xdr:colOff>
      <xdr:row>180</xdr:row>
      <xdr:rowOff>20170</xdr:rowOff>
    </xdr:to>
    <xdr:sp macro="" textlink="">
      <xdr:nvSpPr>
        <xdr:cNvPr id="23" name="吹き出し: 四角形 22">
          <a:extLst>
            <a:ext uri="{FF2B5EF4-FFF2-40B4-BE49-F238E27FC236}">
              <a16:creationId xmlns:a16="http://schemas.microsoft.com/office/drawing/2014/main" id="{78DEB264-69D0-44A3-A1BF-68D8E6B2C7A8}"/>
            </a:ext>
          </a:extLst>
        </xdr:cNvPr>
        <xdr:cNvSpPr/>
      </xdr:nvSpPr>
      <xdr:spPr>
        <a:xfrm>
          <a:off x="12012706" y="39422293"/>
          <a:ext cx="5130053" cy="1712259"/>
        </a:xfrm>
        <a:prstGeom prst="wedgeRectCallout">
          <a:avLst>
            <a:gd name="adj1" fmla="val -59165"/>
            <a:gd name="adj2" fmla="val -20801"/>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作業　説明書きの中から、コロナ特例に関する文言を削除</a:t>
          </a:r>
        </a:p>
      </xdr:txBody>
    </xdr:sp>
    <xdr:clientData/>
  </xdr:twoCellAnchor>
  <xdr:twoCellAnchor>
    <xdr:from>
      <xdr:col>37</xdr:col>
      <xdr:colOff>230840</xdr:colOff>
      <xdr:row>32</xdr:row>
      <xdr:rowOff>85164</xdr:rowOff>
    </xdr:from>
    <xdr:to>
      <xdr:col>39</xdr:col>
      <xdr:colOff>196102</xdr:colOff>
      <xdr:row>36</xdr:row>
      <xdr:rowOff>152400</xdr:rowOff>
    </xdr:to>
    <xdr:sp macro="" textlink="">
      <xdr:nvSpPr>
        <xdr:cNvPr id="29" name="吹き出し: 四角形 28">
          <a:extLst>
            <a:ext uri="{FF2B5EF4-FFF2-40B4-BE49-F238E27FC236}">
              <a16:creationId xmlns:a16="http://schemas.microsoft.com/office/drawing/2014/main" id="{0D388B8B-7985-4C16-B424-8D09990CAE2F}"/>
            </a:ext>
          </a:extLst>
        </xdr:cNvPr>
        <xdr:cNvSpPr/>
      </xdr:nvSpPr>
      <xdr:spPr>
        <a:xfrm>
          <a:off x="13879605" y="6304429"/>
          <a:ext cx="1657350" cy="829236"/>
        </a:xfrm>
        <a:prstGeom prst="wedgeRectCallout">
          <a:avLst>
            <a:gd name="adj1" fmla="val 17338"/>
            <a:gd name="adj2" fmla="val -124992"/>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作業　申請月を選ぶと自動的に提出日が表示されるよう修正</a:t>
          </a:r>
        </a:p>
      </xdr:txBody>
    </xdr:sp>
    <xdr:clientData/>
  </xdr:twoCellAnchor>
  <xdr:twoCellAnchor>
    <xdr:from>
      <xdr:col>0</xdr:col>
      <xdr:colOff>0</xdr:colOff>
      <xdr:row>0</xdr:row>
      <xdr:rowOff>0</xdr:rowOff>
    </xdr:from>
    <xdr:to>
      <xdr:col>21</xdr:col>
      <xdr:colOff>106846</xdr:colOff>
      <xdr:row>5</xdr:row>
      <xdr:rowOff>152400</xdr:rowOff>
    </xdr:to>
    <xdr:sp macro="" textlink="">
      <xdr:nvSpPr>
        <xdr:cNvPr id="2" name="テキスト ボックス 1">
          <a:extLst>
            <a:ext uri="{FF2B5EF4-FFF2-40B4-BE49-F238E27FC236}">
              <a16:creationId xmlns:a16="http://schemas.microsoft.com/office/drawing/2014/main" id="{8C3AC7CE-86A9-4147-A15F-DAFC2FB95B8B}"/>
            </a:ext>
          </a:extLst>
        </xdr:cNvPr>
        <xdr:cNvSpPr txBox="1"/>
      </xdr:nvSpPr>
      <xdr:spPr>
        <a:xfrm>
          <a:off x="0" y="0"/>
          <a:ext cx="4707421" cy="1104900"/>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t>試　算　様　式</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57150</xdr:colOff>
      <xdr:row>0</xdr:row>
      <xdr:rowOff>0</xdr:rowOff>
    </xdr:from>
    <xdr:to>
      <xdr:col>7</xdr:col>
      <xdr:colOff>3800474</xdr:colOff>
      <xdr:row>6</xdr:row>
      <xdr:rowOff>38100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7258050" y="0"/>
          <a:ext cx="3743324" cy="118110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7</xdr:col>
      <xdr:colOff>104775</xdr:colOff>
      <xdr:row>7</xdr:row>
      <xdr:rowOff>0</xdr:rowOff>
    </xdr:from>
    <xdr:to>
      <xdr:col>7</xdr:col>
      <xdr:colOff>3771900</xdr:colOff>
      <xdr:row>24</xdr:row>
      <xdr:rowOff>95250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7305675" y="1466850"/>
          <a:ext cx="3667125" cy="33909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基本情報</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加算担当職員の情報を入力</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学歴</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高等学校～現在に係る学歴を入力</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職歴</a:t>
          </a:r>
          <a:r>
            <a:rPr kumimoji="1" lang="en-US" altLang="ja-JP" sz="1000" b="1">
              <a:latin typeface="ＭＳ ゴシック" panose="020B0609070205080204" pitchFamily="49" charset="-128"/>
              <a:ea typeface="ＭＳ ゴシック" panose="020B0609070205080204" pitchFamily="49" charset="-128"/>
            </a:rPr>
            <a:t>】</a:t>
          </a: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加算申請時点までの経歴をすること。</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また、必ず現在の施設で施設長に就任した年月を記載すること。</a:t>
          </a:r>
          <a:endParaRPr lang="ja-JP" altLang="ja-JP" sz="1000">
            <a:effectLst/>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資格</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加算申請時点で有効な資格を記載すること。</a:t>
          </a:r>
          <a:endParaRPr lang="ja-JP" altLang="ja-JP" sz="1000">
            <a:effectLst/>
            <a:latin typeface="ＭＳ ゴシック" panose="020B0609070205080204" pitchFamily="49" charset="-128"/>
            <a:ea typeface="ＭＳ ゴシック" panose="020B0609070205080204" pitchFamily="49" charset="-128"/>
          </a:endParaRPr>
        </a:p>
        <a:p>
          <a:endParaRPr kumimoji="1" lang="en-US" altLang="ja-JP" sz="1100" b="1">
            <a:solidFill>
              <a:schemeClr val="dk1"/>
            </a:solidFill>
            <a:effectLst/>
            <a:latin typeface="+mn-lt"/>
            <a:ea typeface="+mn-ea"/>
            <a:cs typeface="+mn-cs"/>
          </a:endParaRPr>
        </a:p>
        <a:p>
          <a:pPr algn="l"/>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7</xdr:col>
      <xdr:colOff>38100</xdr:colOff>
      <xdr:row>51</xdr:row>
      <xdr:rowOff>180975</xdr:rowOff>
    </xdr:from>
    <xdr:to>
      <xdr:col>7</xdr:col>
      <xdr:colOff>3705225</xdr:colOff>
      <xdr:row>69</xdr:row>
      <xdr:rowOff>142875</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7239000" y="10086975"/>
          <a:ext cx="3667125" cy="33909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施設名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同一又は系列法人内で運営する保育・教育施設及び事業の全てを記載。なお、認可の有無は問いませんのでご注意ください。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施設長名</a:t>
          </a:r>
          <a:r>
            <a:rPr kumimoji="1" lang="en-US" altLang="ja-JP" sz="1000" b="1">
              <a:latin typeface="ＭＳ ゴシック" panose="020B0609070205080204" pitchFamily="49" charset="-128"/>
              <a:ea typeface="ＭＳ ゴシック" panose="020B0609070205080204" pitchFamily="49" charset="-128"/>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施設長名を記載</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施設で作成している資料</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同様の内容を記載</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を代わりに提出していただくことも可能です。</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86121</xdr:colOff>
      <xdr:row>0</xdr:row>
      <xdr:rowOff>0</xdr:rowOff>
    </xdr:from>
    <xdr:to>
      <xdr:col>8</xdr:col>
      <xdr:colOff>3809999</xdr:colOff>
      <xdr:row>6</xdr:row>
      <xdr:rowOff>38100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8791971" y="0"/>
          <a:ext cx="3723878" cy="118110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8</xdr:col>
      <xdr:colOff>104775</xdr:colOff>
      <xdr:row>6</xdr:row>
      <xdr:rowOff>104774</xdr:rowOff>
    </xdr:from>
    <xdr:to>
      <xdr:col>8</xdr:col>
      <xdr:colOff>3810000</xdr:colOff>
      <xdr:row>33</xdr:row>
      <xdr:rowOff>19050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9144000" y="1247774"/>
          <a:ext cx="3705225" cy="4943476"/>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当該月の利用見込み</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当該月の利用児童の見込み数を入力してください。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なお、様式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－申請月を変更することで、土曜日・日にち・平日</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祝日が自動表記されます。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また、土曜日が祝日の場合は減算対象から除外されます。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減算区分</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　</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日：対象の土曜日が</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日以上有りかつ</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日が閉所日</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②　</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日：対象の土曜日が</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日以上有りかつ</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日が閉所日</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③　</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日以上：対象の土曜日が</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日以上有りかつ</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日以上が閉所日</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④　全て：対象の土曜日と閉所日が同一</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前月の利用実績</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前月の申請書で記載した利用見込み数と実績数をそれぞれ入力してください。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最終的には実績により減算区分を決定します。既に概算等が終了している場合は各期精算又は第</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四半期精算で精算させていただきます。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月のみ実績値は確認いたしません。</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000">
            <a:effectLst/>
            <a:latin typeface="ＭＳ ゴシック" panose="020B0609070205080204" pitchFamily="49" charset="-128"/>
            <a:ea typeface="ＭＳ ゴシック" panose="020B0609070205080204" pitchFamily="49" charset="-128"/>
          </a:endParaRPr>
        </a:p>
        <a:p>
          <a:endParaRPr kumimoji="1" lang="en-US" altLang="ja-JP" sz="1100" b="1">
            <a:solidFill>
              <a:schemeClr val="dk1"/>
            </a:solidFill>
            <a:effectLst/>
            <a:latin typeface="+mn-lt"/>
            <a:ea typeface="+mn-ea"/>
            <a:cs typeface="+mn-cs"/>
          </a:endParaRPr>
        </a:p>
        <a:p>
          <a:pPr algn="l"/>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38</xdr:col>
      <xdr:colOff>66676</xdr:colOff>
      <xdr:row>0</xdr:row>
      <xdr:rowOff>1</xdr:rowOff>
    </xdr:from>
    <xdr:to>
      <xdr:col>43</xdr:col>
      <xdr:colOff>47626</xdr:colOff>
      <xdr:row>56</xdr:row>
      <xdr:rowOff>0</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16249651" y="1"/>
          <a:ext cx="3409950" cy="75819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参考</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1">
              <a:latin typeface="ＭＳ ゴシック" panose="020B0609070205080204" pitchFamily="49" charset="-128"/>
              <a:ea typeface="ＭＳ ゴシック" panose="020B0609070205080204" pitchFamily="49" charset="-128"/>
            </a:rPr>
            <a:t>児童福祉施設の設備及び運営に関する基準</a:t>
          </a:r>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抜粋</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1">
              <a:latin typeface="ＭＳ ゴシック" panose="020B0609070205080204" pitchFamily="49" charset="-128"/>
              <a:ea typeface="ＭＳ ゴシック" panose="020B0609070205080204" pitchFamily="49" charset="-128"/>
            </a:rPr>
            <a:t>第</a:t>
          </a:r>
          <a:r>
            <a:rPr kumimoji="1" lang="en-US" altLang="ja-JP" sz="1000" b="1">
              <a:latin typeface="ＭＳ ゴシック" panose="020B0609070205080204" pitchFamily="49" charset="-128"/>
              <a:ea typeface="ＭＳ ゴシック" panose="020B0609070205080204" pitchFamily="49" charset="-128"/>
            </a:rPr>
            <a:t>33</a:t>
          </a:r>
          <a:r>
            <a:rPr kumimoji="1" lang="ja-JP" altLang="en-US" sz="1000" b="1">
              <a:latin typeface="ＭＳ ゴシック" panose="020B0609070205080204" pitchFamily="49" charset="-128"/>
              <a:ea typeface="ＭＳ ゴシック" panose="020B0609070205080204" pitchFamily="49" charset="-128"/>
            </a:rPr>
            <a:t>条</a:t>
          </a:r>
          <a:r>
            <a:rPr kumimoji="1" lang="en-US" altLang="ja-JP" sz="1000" b="1">
              <a:latin typeface="ＭＳ ゴシック" panose="020B0609070205080204" pitchFamily="49" charset="-128"/>
              <a:ea typeface="ＭＳ ゴシック" panose="020B0609070205080204" pitchFamily="49" charset="-128"/>
            </a:rPr>
            <a:t>2</a:t>
          </a:r>
          <a:r>
            <a:rPr kumimoji="1" lang="ja-JP" altLang="en-US" sz="1000" b="1">
              <a:latin typeface="ＭＳ ゴシック" panose="020B0609070205080204" pitchFamily="49" charset="-128"/>
              <a:ea typeface="ＭＳ ゴシック" panose="020B0609070205080204" pitchFamily="49" charset="-128"/>
            </a:rPr>
            <a:t>項</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保育士の数は、乳児おおむね</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人につき</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人以上、満</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歳以上満</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歳に満たない幼児おおむね</a:t>
          </a:r>
          <a:r>
            <a:rPr kumimoji="1" lang="en-US" altLang="ja-JP" sz="1000" b="0">
              <a:latin typeface="ＭＳ ゴシック" panose="020B0609070205080204" pitchFamily="49" charset="-128"/>
              <a:ea typeface="ＭＳ ゴシック" panose="020B0609070205080204" pitchFamily="49" charset="-128"/>
            </a:rPr>
            <a:t>6</a:t>
          </a:r>
          <a:r>
            <a:rPr kumimoji="1" lang="ja-JP" altLang="en-US" sz="1000" b="0">
              <a:latin typeface="ＭＳ ゴシック" panose="020B0609070205080204" pitchFamily="49" charset="-128"/>
              <a:ea typeface="ＭＳ ゴシック" panose="020B0609070205080204" pitchFamily="49" charset="-128"/>
            </a:rPr>
            <a:t>人につき</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人以上、満</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歳以上満</a:t>
          </a:r>
          <a:r>
            <a:rPr kumimoji="1" lang="en-US" altLang="ja-JP" sz="1000" b="0">
              <a:latin typeface="ＭＳ ゴシック" panose="020B0609070205080204" pitchFamily="49" charset="-128"/>
              <a:ea typeface="ＭＳ ゴシック" panose="020B0609070205080204" pitchFamily="49" charset="-128"/>
            </a:rPr>
            <a:t>4</a:t>
          </a:r>
          <a:r>
            <a:rPr kumimoji="1" lang="ja-JP" altLang="en-US" sz="1000" b="0">
              <a:latin typeface="ＭＳ ゴシック" panose="020B0609070205080204" pitchFamily="49" charset="-128"/>
              <a:ea typeface="ＭＳ ゴシック" panose="020B0609070205080204" pitchFamily="49" charset="-128"/>
            </a:rPr>
            <a:t>歳に満たない幼児おおむね</a:t>
          </a:r>
          <a:r>
            <a:rPr kumimoji="1" lang="en-US" altLang="ja-JP" sz="1000" b="0">
              <a:latin typeface="ＭＳ ゴシック" panose="020B0609070205080204" pitchFamily="49" charset="-128"/>
              <a:ea typeface="ＭＳ ゴシック" panose="020B0609070205080204" pitchFamily="49" charset="-128"/>
            </a:rPr>
            <a:t>20</a:t>
          </a:r>
          <a:r>
            <a:rPr kumimoji="1" lang="ja-JP" altLang="en-US" sz="1000" b="0">
              <a:latin typeface="ＭＳ ゴシック" panose="020B0609070205080204" pitchFamily="49" charset="-128"/>
              <a:ea typeface="ＭＳ ゴシック" panose="020B0609070205080204" pitchFamily="49" charset="-128"/>
            </a:rPr>
            <a:t>人につき</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人以上、満</a:t>
          </a:r>
          <a:r>
            <a:rPr kumimoji="1" lang="en-US" altLang="ja-JP" sz="1000" b="0">
              <a:latin typeface="ＭＳ ゴシック" panose="020B0609070205080204" pitchFamily="49" charset="-128"/>
              <a:ea typeface="ＭＳ ゴシック" panose="020B0609070205080204" pitchFamily="49" charset="-128"/>
            </a:rPr>
            <a:t>4</a:t>
          </a:r>
          <a:r>
            <a:rPr kumimoji="1" lang="ja-JP" altLang="en-US" sz="1000" b="0">
              <a:latin typeface="ＭＳ ゴシック" panose="020B0609070205080204" pitchFamily="49" charset="-128"/>
              <a:ea typeface="ＭＳ ゴシック" panose="020B0609070205080204" pitchFamily="49" charset="-128"/>
            </a:rPr>
            <a:t>歳以上の幼児おおむね</a:t>
          </a:r>
          <a:r>
            <a:rPr kumimoji="1" lang="en-US" altLang="ja-JP" sz="1000" b="0">
              <a:latin typeface="ＭＳ ゴシック" panose="020B0609070205080204" pitchFamily="49" charset="-128"/>
              <a:ea typeface="ＭＳ ゴシック" panose="020B0609070205080204" pitchFamily="49" charset="-128"/>
            </a:rPr>
            <a:t>30</a:t>
          </a:r>
          <a:r>
            <a:rPr kumimoji="1" lang="ja-JP" altLang="en-US" sz="1000" b="0">
              <a:latin typeface="ＭＳ ゴシック" panose="020B0609070205080204" pitchFamily="49" charset="-128"/>
              <a:ea typeface="ＭＳ ゴシック" panose="020B0609070205080204" pitchFamily="49" charset="-128"/>
            </a:rPr>
            <a:t>人につき</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人以上とする。ただし、保育所</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につき</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人を下ることはできない。</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附則</a:t>
          </a:r>
          <a:r>
            <a:rPr kumimoji="1" lang="en-US" altLang="ja-JP" sz="1000" b="1">
              <a:latin typeface="ＭＳ ゴシック" panose="020B0609070205080204" pitchFamily="49" charset="-128"/>
              <a:ea typeface="ＭＳ ゴシック" panose="020B0609070205080204" pitchFamily="49" charset="-128"/>
            </a:rPr>
            <a:t>94</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　</a:t>
          </a:r>
          <a:r>
            <a:rPr kumimoji="1" lang="en-US" altLang="ja-JP" sz="1000" b="0">
              <a:latin typeface="ＭＳ ゴシック" panose="020B0609070205080204" pitchFamily="49" charset="-128"/>
              <a:ea typeface="ＭＳ ゴシック" panose="020B0609070205080204" pitchFamily="49" charset="-128"/>
            </a:rPr>
            <a:t>&lt;</a:t>
          </a:r>
          <a:r>
            <a:rPr kumimoji="1" lang="ja-JP" altLang="en-US" sz="1000" b="0">
              <a:latin typeface="ＭＳ ゴシック" panose="020B0609070205080204" pitchFamily="49" charset="-128"/>
              <a:ea typeface="ＭＳ ゴシック" panose="020B0609070205080204" pitchFamily="49" charset="-128"/>
            </a:rPr>
            <a:t>一部省略</a:t>
          </a:r>
          <a:r>
            <a:rPr kumimoji="1" lang="en-US" altLang="ja-JP" sz="1000" b="0">
              <a:latin typeface="ＭＳ ゴシック" panose="020B0609070205080204" pitchFamily="49" charset="-128"/>
              <a:ea typeface="ＭＳ ゴシック" panose="020B0609070205080204" pitchFamily="49" charset="-128"/>
            </a:rPr>
            <a:t>&gt;</a:t>
          </a:r>
        </a:p>
        <a:p>
          <a:pPr algn="l"/>
          <a:r>
            <a:rPr kumimoji="1" lang="ja-JP" altLang="en-US" sz="1000" b="0">
              <a:latin typeface="ＭＳ ゴシック" panose="020B0609070205080204" pitchFamily="49" charset="-128"/>
              <a:ea typeface="ＭＳ ゴシック" panose="020B0609070205080204" pitchFamily="49" charset="-128"/>
            </a:rPr>
            <a:t>　当分の間、第</a:t>
          </a:r>
          <a:r>
            <a:rPr kumimoji="1" lang="en-US" altLang="ja-JP" sz="1000" b="0">
              <a:latin typeface="ＭＳ ゴシック" panose="020B0609070205080204" pitchFamily="49" charset="-128"/>
              <a:ea typeface="ＭＳ ゴシック" panose="020B0609070205080204" pitchFamily="49" charset="-128"/>
            </a:rPr>
            <a:t>33</a:t>
          </a:r>
          <a:r>
            <a:rPr kumimoji="1" lang="ja-JP" altLang="en-US" sz="1000" b="0">
              <a:latin typeface="ＭＳ ゴシック" panose="020B0609070205080204" pitchFamily="49" charset="-128"/>
              <a:ea typeface="ＭＳ ゴシック" panose="020B0609070205080204" pitchFamily="49" charset="-128"/>
            </a:rPr>
            <a:t>条第</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項ただし書きの規定を適用しないことができる。この場合において、同行本文の規定により必要な保育士が</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人となるときは、当該保育士に加えて、指定都市市長が保育士と同等の知識及び経験を有すると認めるものを置かなければならない。</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附則</a:t>
          </a:r>
          <a:r>
            <a:rPr kumimoji="1" lang="en-US" altLang="ja-JP" sz="1000" b="1">
              <a:latin typeface="ＭＳ ゴシック" panose="020B0609070205080204" pitchFamily="49" charset="-128"/>
              <a:ea typeface="ＭＳ ゴシック" panose="020B0609070205080204" pitchFamily="49" charset="-128"/>
            </a:rPr>
            <a:t>95</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前条の事情に鑑み、当分の間、第</a:t>
          </a:r>
          <a:r>
            <a:rPr kumimoji="1" lang="en-US" altLang="ja-JP" sz="1000" b="0">
              <a:latin typeface="ＭＳ ゴシック" panose="020B0609070205080204" pitchFamily="49" charset="-128"/>
              <a:ea typeface="ＭＳ ゴシック" panose="020B0609070205080204" pitchFamily="49" charset="-128"/>
            </a:rPr>
            <a:t>33</a:t>
          </a:r>
          <a:r>
            <a:rPr kumimoji="1" lang="ja-JP" altLang="en-US" sz="1000" b="0">
              <a:latin typeface="ＭＳ ゴシック" panose="020B0609070205080204" pitchFamily="49" charset="-128"/>
              <a:ea typeface="ＭＳ ゴシック" panose="020B0609070205080204" pitchFamily="49" charset="-128"/>
            </a:rPr>
            <a:t>条第</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項に規定する保育士の数の算定については、幼稚園教諭もしくは小学校教諭又は養護教諭の普通免許状を有するものを、保育士とみなすことができる。</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附則</a:t>
          </a:r>
          <a:r>
            <a:rPr kumimoji="1" lang="en-US" altLang="ja-JP" sz="1000" b="1">
              <a:latin typeface="ＭＳ ゴシック" panose="020B0609070205080204" pitchFamily="49" charset="-128"/>
              <a:ea typeface="ＭＳ ゴシック" panose="020B0609070205080204" pitchFamily="49" charset="-128"/>
            </a:rPr>
            <a:t>96</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第</a:t>
          </a:r>
          <a:r>
            <a:rPr kumimoji="1" lang="en-US" altLang="ja-JP" sz="1000" b="0">
              <a:latin typeface="ＭＳ ゴシック" panose="020B0609070205080204" pitchFamily="49" charset="-128"/>
              <a:ea typeface="ＭＳ ゴシック" panose="020B0609070205080204" pitchFamily="49" charset="-128"/>
            </a:rPr>
            <a:t>94</a:t>
          </a:r>
          <a:r>
            <a:rPr kumimoji="1" lang="ja-JP" altLang="en-US" sz="1000" b="0">
              <a:latin typeface="ＭＳ ゴシック" panose="020B0609070205080204" pitchFamily="49" charset="-128"/>
              <a:ea typeface="ＭＳ ゴシック" panose="020B0609070205080204" pitchFamily="49" charset="-128"/>
            </a:rPr>
            <a:t>条の事情に鑑み、当分の間、</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日に月</a:t>
          </a:r>
          <a:r>
            <a:rPr kumimoji="1" lang="en-US" altLang="ja-JP" sz="1000" b="0">
              <a:latin typeface="ＭＳ ゴシック" panose="020B0609070205080204" pitchFamily="49" charset="-128"/>
              <a:ea typeface="ＭＳ ゴシック" panose="020B0609070205080204" pitchFamily="49" charset="-128"/>
            </a:rPr>
            <a:t>8</a:t>
          </a:r>
          <a:r>
            <a:rPr kumimoji="1" lang="ja-JP" altLang="en-US" sz="1000" b="0">
              <a:latin typeface="ＭＳ ゴシック" panose="020B0609070205080204" pitchFamily="49" charset="-128"/>
              <a:ea typeface="ＭＳ ゴシック" panose="020B0609070205080204" pitchFamily="49" charset="-128"/>
            </a:rPr>
            <a:t>時間を超えて開所する保育所において、開所時間を通じて必要となる保育士の総数が、当該保育所に係る利用定員の総数に応じて置かなければならない保育士の数を超える数の算定については、指定都市市長が保育士と同等の知識及び経験を有すると認めるものを、開所時間を通じて必要となる保育士の総数から利用定員の総数に応じて置かなければならない保育士の数を差し引いて得た数の範囲で、保育士とみなすことができる。</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附則</a:t>
          </a:r>
          <a:r>
            <a:rPr kumimoji="1" lang="en-US" altLang="ja-JP" sz="1000" b="1">
              <a:latin typeface="ＭＳ ゴシック" panose="020B0609070205080204" pitchFamily="49" charset="-128"/>
              <a:ea typeface="ＭＳ ゴシック" panose="020B0609070205080204" pitchFamily="49" charset="-128"/>
            </a:rPr>
            <a:t>97</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前</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条の規定を適用するときは、保育士を、保育士の数（前</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条の規定の適用が無いとした場合の第</a:t>
          </a:r>
          <a:r>
            <a:rPr kumimoji="1" lang="en-US" altLang="ja-JP" sz="1000" b="0">
              <a:latin typeface="ＭＳ ゴシック" panose="020B0609070205080204" pitchFamily="49" charset="-128"/>
              <a:ea typeface="ＭＳ ゴシック" panose="020B0609070205080204" pitchFamily="49" charset="-128"/>
            </a:rPr>
            <a:t>33</a:t>
          </a:r>
          <a:r>
            <a:rPr kumimoji="1" lang="ja-JP" altLang="en-US" sz="1000" b="0">
              <a:latin typeface="ＭＳ ゴシック" panose="020B0609070205080204" pitchFamily="49" charset="-128"/>
              <a:ea typeface="ＭＳ ゴシック" panose="020B0609070205080204" pitchFamily="49" charset="-128"/>
            </a:rPr>
            <a:t>条第</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項により算定されるものをいう）の</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分の</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以上、置かなければならない。</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児童福祉施設最低基準等の一部を改正する省令</a:t>
          </a:r>
          <a:r>
            <a:rPr kumimoji="1" lang="en-US" altLang="ja-JP" sz="1000" b="1">
              <a:latin typeface="ＭＳ ゴシック" panose="020B0609070205080204" pitchFamily="49" charset="-128"/>
              <a:ea typeface="ＭＳ ゴシック" panose="020B0609070205080204" pitchFamily="49" charset="-128"/>
            </a:rPr>
            <a:t>&lt;</a:t>
          </a:r>
          <a:r>
            <a:rPr kumimoji="1" lang="ja-JP" altLang="en-US" sz="1000" b="1">
              <a:latin typeface="ＭＳ ゴシック" panose="020B0609070205080204" pitchFamily="49" charset="-128"/>
              <a:ea typeface="ＭＳ ゴシック" panose="020B0609070205080204" pitchFamily="49" charset="-128"/>
            </a:rPr>
            <a:t>抜粋</a:t>
          </a:r>
          <a:r>
            <a:rPr kumimoji="1" lang="en-US" altLang="ja-JP" sz="1000" b="1">
              <a:latin typeface="ＭＳ ゴシック" panose="020B0609070205080204" pitchFamily="49" charset="-128"/>
              <a:ea typeface="ＭＳ ゴシック" panose="020B0609070205080204" pitchFamily="49" charset="-128"/>
            </a:rPr>
            <a:t>&gt;</a:t>
          </a:r>
        </a:p>
        <a:p>
          <a:pPr algn="l"/>
          <a:r>
            <a:rPr kumimoji="1" lang="ja-JP" altLang="en-US" sz="1000" b="1">
              <a:latin typeface="ＭＳ ゴシック" panose="020B0609070205080204" pitchFamily="49" charset="-128"/>
              <a:ea typeface="ＭＳ ゴシック" panose="020B0609070205080204" pitchFamily="49" charset="-128"/>
            </a:rPr>
            <a:t>附則第</a:t>
          </a:r>
          <a:r>
            <a:rPr kumimoji="1" lang="en-US" altLang="ja-JP" sz="1000" b="1">
              <a:latin typeface="ＭＳ ゴシック" panose="020B0609070205080204" pitchFamily="49" charset="-128"/>
              <a:ea typeface="ＭＳ ゴシック" panose="020B0609070205080204" pitchFamily="49" charset="-128"/>
            </a:rPr>
            <a:t>2</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乳児</a:t>
          </a:r>
          <a:r>
            <a:rPr kumimoji="1" lang="en-US" altLang="ja-JP" sz="1000" b="0">
              <a:latin typeface="ＭＳ ゴシック" panose="020B0609070205080204" pitchFamily="49" charset="-128"/>
              <a:ea typeface="ＭＳ ゴシック" panose="020B0609070205080204" pitchFamily="49" charset="-128"/>
            </a:rPr>
            <a:t>4</a:t>
          </a:r>
          <a:r>
            <a:rPr kumimoji="1" lang="ja-JP" altLang="en-US" sz="1000" b="0">
              <a:latin typeface="ＭＳ ゴシック" panose="020B0609070205080204" pitchFamily="49" charset="-128"/>
              <a:ea typeface="ＭＳ ゴシック" panose="020B0609070205080204" pitchFamily="49" charset="-128"/>
            </a:rPr>
            <a:t>人以上を入所させる保育所にかかる改正後の第</a:t>
          </a:r>
          <a:r>
            <a:rPr kumimoji="1" lang="en-US" altLang="ja-JP" sz="1000" b="0">
              <a:latin typeface="ＭＳ ゴシック" panose="020B0609070205080204" pitchFamily="49" charset="-128"/>
              <a:ea typeface="ＭＳ ゴシック" panose="020B0609070205080204" pitchFamily="49" charset="-128"/>
            </a:rPr>
            <a:t>33</a:t>
          </a:r>
          <a:r>
            <a:rPr kumimoji="1" lang="ja-JP" altLang="en-US" sz="1000" b="0">
              <a:latin typeface="ＭＳ ゴシック" panose="020B0609070205080204" pitchFamily="49" charset="-128"/>
              <a:ea typeface="ＭＳ ゴシック" panose="020B0609070205080204" pitchFamily="49" charset="-128"/>
            </a:rPr>
            <a:t>条第</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項に規定する保育士の数の算定については、当分の間、当該保育所に勤務する保健師、看護師又は准看護師を</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人に限って、保育士とみなすことができる。</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xdr:txBody>
    </xdr:sp>
    <xdr:clientData/>
  </xdr:twoCellAnchor>
  <xdr:twoCellAnchor>
    <xdr:from>
      <xdr:col>27</xdr:col>
      <xdr:colOff>123825</xdr:colOff>
      <xdr:row>0</xdr:row>
      <xdr:rowOff>57150</xdr:rowOff>
    </xdr:from>
    <xdr:to>
      <xdr:col>27</xdr:col>
      <xdr:colOff>3847703</xdr:colOff>
      <xdr:row>6</xdr:row>
      <xdr:rowOff>104775</xdr:rowOff>
    </xdr:to>
    <xdr:sp macro="" textlink="">
      <xdr:nvSpPr>
        <xdr:cNvPr id="5" name="正方形/長方形 4">
          <a:extLst>
            <a:ext uri="{FF2B5EF4-FFF2-40B4-BE49-F238E27FC236}">
              <a16:creationId xmlns:a16="http://schemas.microsoft.com/office/drawing/2014/main" id="{00000000-0008-0000-0800-000005000000}"/>
            </a:ext>
          </a:extLst>
        </xdr:cNvPr>
        <xdr:cNvSpPr/>
      </xdr:nvSpPr>
      <xdr:spPr>
        <a:xfrm>
          <a:off x="6810375" y="57150"/>
          <a:ext cx="3723878" cy="1190625"/>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27</xdr:col>
      <xdr:colOff>171054</xdr:colOff>
      <xdr:row>6</xdr:row>
      <xdr:rowOff>171448</xdr:rowOff>
    </xdr:from>
    <xdr:to>
      <xdr:col>27</xdr:col>
      <xdr:colOff>3876279</xdr:colOff>
      <xdr:row>56</xdr:row>
      <xdr:rowOff>0</xdr:rowOff>
    </xdr:to>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6238479" y="1314448"/>
          <a:ext cx="3705225" cy="12915901"/>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実施計画</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a:t>
          </a:r>
          <a:r>
            <a:rPr kumimoji="1" lang="en-US" altLang="ja-JP" sz="1000">
              <a:latin typeface="ＭＳ ゴシック" panose="020B0609070205080204" pitchFamily="49" charset="-128"/>
              <a:ea typeface="ＭＳ ゴシック" panose="020B0609070205080204" pitchFamily="49" charset="-128"/>
            </a:rPr>
            <a:t>No1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6</a:t>
          </a:r>
          <a:r>
            <a:rPr kumimoji="1" lang="ja-JP" altLang="en-US" sz="1000">
              <a:latin typeface="ＭＳ ゴシック" panose="020B0609070205080204" pitchFamily="49" charset="-128"/>
              <a:ea typeface="ＭＳ ゴシック" panose="020B0609070205080204" pitchFamily="49" charset="-128"/>
            </a:rPr>
            <a:t>を全て記載すること。漏れがある場合、判定が</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となり加算が認定されない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１　実施日</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入力済み</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２　時間帯</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休日保育を実施している最大時間数を区分ごとに入力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３　利用児童数</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個票</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から自動引用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４　給食（間食）</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実施していることが要件。また、１食当たりの料金設定を記載すること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５　料金</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料金設定の単位と金額を記入すること。単位をその他で選択した場合は、具体的な設定方法を（）に記載すること。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６　職員体制</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体制と給与区分を選択すること。また、選択した給与区分に応じて、職員名簿を以下のとおり記載すること。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全て通常給与</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様式</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で担当職員を記載</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全て超過勤務</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別紙</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で担当職員を記載</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通常給与と超過勤務の混合</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通常給与で対応した職員分は様式</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 、超過勤務で対応した職員分は別紙</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に分けて記載</a:t>
          </a:r>
          <a:endParaRPr kumimoji="1" lang="en-US" altLang="ja-JP" sz="100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en-US" altLang="ja-JP" sz="100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en-US" altLang="ja-JP" sz="1000">
            <a:solidFill>
              <a:sysClr val="windowText" lastClr="000000"/>
            </a:solidFill>
            <a:latin typeface="ＭＳ ゴシック" panose="020B0609070205080204" pitchFamily="49" charset="-128"/>
            <a:ea typeface="ＭＳ ゴシック" panose="020B0609070205080204" pitchFamily="49" charset="-128"/>
          </a:endParaRPr>
        </a:p>
        <a:p>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必要保育士数</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 No1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すべてに回答すること。要件を満たさない場合は加算されない。</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No2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の各規則は右記</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参考</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のとおり</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必要保育士数</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en-US" sz="1100">
              <a:solidFill>
                <a:schemeClr val="dk1"/>
              </a:solidFill>
              <a:effectLst/>
              <a:latin typeface="+mn-lt"/>
              <a:ea typeface="+mn-ea"/>
              <a:cs typeface="+mn-cs"/>
            </a:rPr>
            <a:t>　「</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実施計画」の「</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職員体制」で、「全て超過勤務」又は「通常給与と超過勤務の混合」と回答した場合、超過勤務対応部分のみを記載すること。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000">
            <a:effectLst/>
            <a:latin typeface="ＭＳ ゴシック" panose="020B0609070205080204" pitchFamily="49" charset="-128"/>
            <a:ea typeface="ＭＳ ゴシック" panose="020B0609070205080204" pitchFamily="49" charset="-128"/>
          </a:endParaRPr>
        </a:p>
        <a:p>
          <a:endParaRPr kumimoji="1" lang="en-US" altLang="ja-JP" sz="1100" b="1">
            <a:solidFill>
              <a:schemeClr val="dk1"/>
            </a:solidFill>
            <a:effectLst/>
            <a:latin typeface="+mn-lt"/>
            <a:ea typeface="+mn-ea"/>
            <a:cs typeface="+mn-cs"/>
          </a:endParaRPr>
        </a:p>
        <a:p>
          <a:pPr algn="l"/>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16</xdr:col>
      <xdr:colOff>128510</xdr:colOff>
      <xdr:row>0</xdr:row>
      <xdr:rowOff>244928</xdr:rowOff>
    </xdr:from>
    <xdr:to>
      <xdr:col>16</xdr:col>
      <xdr:colOff>3871834</xdr:colOff>
      <xdr:row>7</xdr:row>
      <xdr:rowOff>119441</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9424910" y="244928"/>
          <a:ext cx="3743324" cy="2160513"/>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16</xdr:col>
      <xdr:colOff>122465</xdr:colOff>
      <xdr:row>8</xdr:row>
      <xdr:rowOff>122464</xdr:rowOff>
    </xdr:from>
    <xdr:to>
      <xdr:col>16</xdr:col>
      <xdr:colOff>3905249</xdr:colOff>
      <xdr:row>39</xdr:row>
      <xdr:rowOff>108857</xdr:rowOff>
    </xdr:to>
    <xdr:sp macro="" textlink="">
      <xdr:nvSpPr>
        <xdr:cNvPr id="3" name="正方形/長方形 2">
          <a:extLst>
            <a:ext uri="{FF2B5EF4-FFF2-40B4-BE49-F238E27FC236}">
              <a16:creationId xmlns:a16="http://schemas.microsoft.com/office/drawing/2014/main" id="{00000000-0008-0000-0900-000003000000}"/>
            </a:ext>
          </a:extLst>
        </xdr:cNvPr>
        <xdr:cNvSpPr/>
      </xdr:nvSpPr>
      <xdr:spPr>
        <a:xfrm>
          <a:off x="9418865" y="2694214"/>
          <a:ext cx="3782784" cy="8844643"/>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000" b="1">
              <a:latin typeface="ＭＳ ゴシック" panose="020B0609070205080204" pitchFamily="49" charset="-128"/>
              <a:ea typeface="ＭＳ ゴシック" panose="020B0609070205080204" pitchFamily="49" charset="-128"/>
            </a:rPr>
            <a:t>●　別紙</a:t>
          </a:r>
          <a:r>
            <a:rPr kumimoji="1" lang="en-US" altLang="ja-JP" sz="1000" b="1">
              <a:latin typeface="ＭＳ ゴシック" panose="020B0609070205080204" pitchFamily="49" charset="-128"/>
              <a:ea typeface="ＭＳ ゴシック" panose="020B0609070205080204" pitchFamily="49" charset="-128"/>
            </a:rPr>
            <a:t>6</a:t>
          </a:r>
          <a:r>
            <a:rPr kumimoji="1" lang="ja-JP" altLang="en-US" sz="1000" b="1">
              <a:latin typeface="ＭＳ ゴシック" panose="020B0609070205080204" pitchFamily="49" charset="-128"/>
              <a:ea typeface="ＭＳ ゴシック" panose="020B0609070205080204" pitchFamily="49" charset="-128"/>
            </a:rPr>
            <a:t>－</a:t>
          </a:r>
          <a:r>
            <a:rPr kumimoji="1" lang="en-US" altLang="ja-JP" sz="1000" b="1">
              <a:latin typeface="ＭＳ ゴシック" panose="020B0609070205080204" pitchFamily="49" charset="-128"/>
              <a:ea typeface="ＭＳ ゴシック" panose="020B0609070205080204" pitchFamily="49" charset="-128"/>
            </a:rPr>
            <a:t>1</a:t>
          </a:r>
        </a:p>
        <a:p>
          <a:pPr algn="l"/>
          <a:r>
            <a:rPr kumimoji="1" lang="ja-JP" altLang="en-US" sz="1000" b="0">
              <a:latin typeface="ＭＳ ゴシック" panose="020B0609070205080204" pitchFamily="49" charset="-128"/>
              <a:ea typeface="ＭＳ ゴシック" panose="020B0609070205080204" pitchFamily="49" charset="-128"/>
            </a:rPr>
            <a:t>　減算を解除する場合に作成してください。なお、事前に子ども未来局の担当部署に協議が必要です。</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日付</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　個票に記載した協議年月日と申出書提出日は一致します。</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申出者</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　原則は加算適用申請書と一致します。</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施設名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から引用</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見直した区分</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個票より引用。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　定員</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定員を見直した場合は「見直し後」と「見直しした月」を記載してください。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見直し前は様式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からの引用です。修正する場合のみ上書きしてください。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②　利用初日児童数（予定）</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当該年度の受入れ児童数を記載してください。なお、市外児童も含みます。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入力した予定児童数の年間在所率が</a:t>
          </a:r>
          <a:r>
            <a:rPr kumimoji="1" lang="en-US" altLang="ja-JP" sz="1000">
              <a:latin typeface="ＭＳ ゴシック" panose="020B0609070205080204" pitchFamily="49" charset="-128"/>
              <a:ea typeface="ＭＳ ゴシック" panose="020B0609070205080204" pitchFamily="49" charset="-128"/>
            </a:rPr>
            <a:t>120</a:t>
          </a:r>
          <a:r>
            <a:rPr kumimoji="1" lang="ja-JP" altLang="en-US" sz="1000">
              <a:latin typeface="ＭＳ ゴシック" panose="020B0609070205080204" pitchFamily="49" charset="-128"/>
              <a:ea typeface="ＭＳ ゴシック" panose="020B0609070205080204" pitchFamily="49" charset="-128"/>
            </a:rPr>
            <a:t>％以上の場合は、不適切な計画とみなし減算解除を認めません。</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また、原則は定員の範囲内での利用が望ましいため、</a:t>
          </a:r>
          <a:r>
            <a:rPr kumimoji="1" lang="en-US" altLang="ja-JP" sz="1000">
              <a:latin typeface="ＭＳ ゴシック" panose="020B0609070205080204" pitchFamily="49" charset="-128"/>
              <a:ea typeface="ＭＳ ゴシック" panose="020B0609070205080204" pitchFamily="49" charset="-128"/>
            </a:rPr>
            <a:t>120</a:t>
          </a:r>
          <a:r>
            <a:rPr kumimoji="1" lang="ja-JP" altLang="en-US" sz="1000">
              <a:latin typeface="ＭＳ ゴシック" panose="020B0609070205080204" pitchFamily="49" charset="-128"/>
              <a:ea typeface="ＭＳ ゴシック" panose="020B0609070205080204" pitchFamily="49" charset="-128"/>
            </a:rPr>
            <a:t>％を超過しない場合でも、継続的に利用児童数が定員を超過している場合も不適切な計画とみなす場合があります。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a:t>
          </a:r>
          <a:r>
            <a:rPr kumimoji="1" lang="en-US" altLang="ja-JP" sz="1000">
              <a:latin typeface="ＭＳ ゴシック" panose="020B0609070205080204" pitchFamily="49" charset="-128"/>
              <a:ea typeface="ＭＳ ゴシック" panose="020B0609070205080204" pitchFamily="49" charset="-128"/>
            </a:rPr>
            <a:t>2022</a:t>
          </a:r>
          <a:r>
            <a:rPr kumimoji="1" lang="ja-JP" altLang="en-US" sz="1000">
              <a:latin typeface="ＭＳ ゴシック" panose="020B0609070205080204" pitchFamily="49" charset="-128"/>
              <a:ea typeface="ＭＳ ゴシック" panose="020B0609070205080204" pitchFamily="49" charset="-128"/>
            </a:rPr>
            <a:t>年度以降は、上記条件に加え見直した月から</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か月間</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見直し月が</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月の場合は</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か月間、</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月の場合は</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か月間</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の平均在所率が</a:t>
          </a:r>
          <a:r>
            <a:rPr kumimoji="1" lang="en-US" altLang="ja-JP" sz="1000">
              <a:latin typeface="ＭＳ ゴシック" panose="020B0609070205080204" pitchFamily="49" charset="-128"/>
              <a:ea typeface="ＭＳ ゴシック" panose="020B0609070205080204" pitchFamily="49" charset="-128"/>
            </a:rPr>
            <a:t>115</a:t>
          </a:r>
          <a:r>
            <a:rPr kumimoji="1" lang="ja-JP" altLang="en-US" sz="1000">
              <a:latin typeface="ＭＳ ゴシック" panose="020B0609070205080204" pitchFamily="49" charset="-128"/>
              <a:ea typeface="ＭＳ ゴシック" panose="020B0609070205080204" pitchFamily="49" charset="-128"/>
            </a:rPr>
            <a:t>％未満である必要があります。</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16</xdr:col>
      <xdr:colOff>95250</xdr:colOff>
      <xdr:row>42</xdr:row>
      <xdr:rowOff>40821</xdr:rowOff>
    </xdr:from>
    <xdr:to>
      <xdr:col>16</xdr:col>
      <xdr:colOff>3878034</xdr:colOff>
      <xdr:row>71</xdr:row>
      <xdr:rowOff>27214</xdr:rowOff>
    </xdr:to>
    <xdr:sp macro="" textlink="">
      <xdr:nvSpPr>
        <xdr:cNvPr id="4" name="正方形/長方形 3">
          <a:extLst>
            <a:ext uri="{FF2B5EF4-FFF2-40B4-BE49-F238E27FC236}">
              <a16:creationId xmlns:a16="http://schemas.microsoft.com/office/drawing/2014/main" id="{00000000-0008-0000-0900-000004000000}"/>
            </a:ext>
          </a:extLst>
        </xdr:cNvPr>
        <xdr:cNvSpPr/>
      </xdr:nvSpPr>
      <xdr:spPr>
        <a:xfrm>
          <a:off x="9391650" y="12328071"/>
          <a:ext cx="3782784" cy="8558893"/>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000" b="1">
              <a:latin typeface="ＭＳ ゴシック" panose="020B0609070205080204" pitchFamily="49" charset="-128"/>
              <a:ea typeface="ＭＳ ゴシック" panose="020B0609070205080204" pitchFamily="49" charset="-128"/>
            </a:rPr>
            <a:t>●　別紙</a:t>
          </a:r>
          <a:r>
            <a:rPr kumimoji="1" lang="en-US" altLang="ja-JP" sz="1000" b="1">
              <a:latin typeface="ＭＳ ゴシック" panose="020B0609070205080204" pitchFamily="49" charset="-128"/>
              <a:ea typeface="ＭＳ ゴシック" panose="020B0609070205080204" pitchFamily="49" charset="-128"/>
            </a:rPr>
            <a:t>6</a:t>
          </a:r>
          <a:r>
            <a:rPr kumimoji="1" lang="ja-JP" altLang="en-US" sz="1000" b="1">
              <a:latin typeface="ＭＳ ゴシック" panose="020B0609070205080204" pitchFamily="49" charset="-128"/>
              <a:ea typeface="ＭＳ ゴシック" panose="020B0609070205080204" pitchFamily="49" charset="-128"/>
            </a:rPr>
            <a:t>－</a:t>
          </a:r>
          <a:r>
            <a:rPr kumimoji="1" lang="en-US" altLang="ja-JP" sz="1000" b="1">
              <a:latin typeface="ＭＳ ゴシック" panose="020B0609070205080204" pitchFamily="49" charset="-128"/>
              <a:ea typeface="ＭＳ ゴシック" panose="020B0609070205080204" pitchFamily="49" charset="-128"/>
            </a:rPr>
            <a:t>2</a:t>
          </a:r>
        </a:p>
        <a:p>
          <a:pPr algn="l"/>
          <a:r>
            <a:rPr kumimoji="1" lang="ja-JP" altLang="en-US" sz="1000" b="0">
              <a:latin typeface="ＭＳ ゴシック" panose="020B0609070205080204" pitchFamily="49" charset="-128"/>
              <a:ea typeface="ＭＳ ゴシック" panose="020B0609070205080204" pitchFamily="49" charset="-128"/>
            </a:rPr>
            <a:t>　減算解除を行っていた施設のみ、</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月加算と併せて当該様式を作成してください。</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当該実績報告により減算解除要件を満たさないと判明した場合は以下の取扱いとなります</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ja-JP" altLang="en-US"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①</a:t>
          </a:r>
          <a:r>
            <a:rPr kumimoji="1" lang="en-US" altLang="ja-JP" sz="1000" b="0">
              <a:latin typeface="ＭＳ ゴシック" panose="020B0609070205080204" pitchFamily="49" charset="-128"/>
              <a:ea typeface="ＭＳ ゴシック" panose="020B0609070205080204" pitchFamily="49" charset="-128"/>
            </a:rPr>
            <a:t> </a:t>
          </a:r>
          <a:r>
            <a:rPr kumimoji="1" lang="ja-JP" altLang="en-US" sz="1000" b="0">
              <a:latin typeface="ＭＳ ゴシック" panose="020B0609070205080204" pitchFamily="49" charset="-128"/>
              <a:ea typeface="ＭＳ ゴシック" panose="020B0609070205080204" pitchFamily="49" charset="-128"/>
            </a:rPr>
            <a:t>年間平均在所率が</a:t>
          </a:r>
          <a:r>
            <a:rPr kumimoji="1" lang="en-US" altLang="ja-JP" sz="1000" b="0">
              <a:latin typeface="ＭＳ ゴシック" panose="020B0609070205080204" pitchFamily="49" charset="-128"/>
              <a:ea typeface="ＭＳ ゴシック" panose="020B0609070205080204" pitchFamily="49" charset="-128"/>
            </a:rPr>
            <a:t>120%</a:t>
          </a:r>
          <a:r>
            <a:rPr kumimoji="1" lang="ja-JP" altLang="en-US" sz="1000" b="0">
              <a:latin typeface="ＭＳ ゴシック" panose="020B0609070205080204" pitchFamily="49" charset="-128"/>
              <a:ea typeface="ＭＳ ゴシック" panose="020B0609070205080204" pitchFamily="49" charset="-128"/>
            </a:rPr>
            <a:t>以上だが、年度途中で定員超過を解消した場合</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→年度当初～定員超過を解消した前月まで遡って減算適用</a:t>
          </a:r>
        </a:p>
        <a:p>
          <a:pPr algn="l"/>
          <a:r>
            <a:rPr kumimoji="1" lang="ja-JP" altLang="en-US" sz="1000" b="0">
              <a:latin typeface="ＭＳ ゴシック" panose="020B0609070205080204" pitchFamily="49" charset="-128"/>
              <a:ea typeface="ＭＳ ゴシック" panose="020B0609070205080204" pitchFamily="49" charset="-128"/>
            </a:rPr>
            <a:t> </a:t>
          </a:r>
        </a:p>
        <a:p>
          <a:pPr algn="l"/>
          <a:r>
            <a:rPr kumimoji="1" lang="ja-JP" altLang="en-US" sz="1000" b="0">
              <a:latin typeface="ＭＳ ゴシック" panose="020B0609070205080204" pitchFamily="49" charset="-128"/>
              <a:ea typeface="ＭＳ ゴシック" panose="020B0609070205080204" pitchFamily="49" charset="-128"/>
            </a:rPr>
            <a:t>②</a:t>
          </a:r>
          <a:r>
            <a:rPr kumimoji="1" lang="en-US" altLang="ja-JP" sz="1000" b="0">
              <a:latin typeface="ＭＳ ゴシック" panose="020B0609070205080204" pitchFamily="49" charset="-128"/>
              <a:ea typeface="ＭＳ ゴシック" panose="020B0609070205080204" pitchFamily="49" charset="-128"/>
            </a:rPr>
            <a:t> </a:t>
          </a:r>
          <a:r>
            <a:rPr kumimoji="1" lang="ja-JP" altLang="en-US" sz="1000" b="0">
              <a:latin typeface="ＭＳ ゴシック" panose="020B0609070205080204" pitchFamily="49" charset="-128"/>
              <a:ea typeface="ＭＳ ゴシック" panose="020B0609070205080204" pitchFamily="49" charset="-128"/>
            </a:rPr>
            <a:t>年間平均在所率が</a:t>
          </a:r>
          <a:r>
            <a:rPr kumimoji="1" lang="en-US" altLang="ja-JP" sz="1000" b="0">
              <a:latin typeface="ＭＳ ゴシック" panose="020B0609070205080204" pitchFamily="49" charset="-128"/>
              <a:ea typeface="ＭＳ ゴシック" panose="020B0609070205080204" pitchFamily="49" charset="-128"/>
            </a:rPr>
            <a:t>120</a:t>
          </a:r>
          <a:r>
            <a:rPr kumimoji="1" lang="ja-JP" altLang="en-US" sz="1000" b="0">
              <a:latin typeface="ＭＳ ゴシック" panose="020B0609070205080204" pitchFamily="49" charset="-128"/>
              <a:ea typeface="ＭＳ ゴシック" panose="020B0609070205080204" pitchFamily="49" charset="-128"/>
            </a:rPr>
            <a:t>％以上、かつ年度を通して定員超過であった場合</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→年度当初にさかのぼって減算を適用</a:t>
          </a:r>
        </a:p>
        <a:p>
          <a:pPr algn="l"/>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日付</a:t>
          </a:r>
          <a:r>
            <a:rPr kumimoji="1" lang="en-US" altLang="ja-JP" sz="1000" b="0">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　</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月</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日で固定。</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申出者</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　原則は加算適用申請書と一致します。</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施設名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から引用</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見直した区分</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個票より引用。従前に提出した様式</a:t>
          </a:r>
          <a:r>
            <a:rPr kumimoji="1" lang="en-US" altLang="ja-JP" sz="1000">
              <a:latin typeface="ＭＳ ゴシック" panose="020B0609070205080204" pitchFamily="49" charset="-128"/>
              <a:ea typeface="ＭＳ ゴシック" panose="020B0609070205080204" pitchFamily="49" charset="-128"/>
            </a:rPr>
            <a:t>6</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と一致させてください。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　定員</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定員を見直した場合は「見直し後」と「見直しした月」を記載してください。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見直し前は様式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からの引用です。修正する場合のみ上書きしてください。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②　利用初日児童数（実績）</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当該年度の受入れ児童数を実績値で記載してください。なお、市外児童も含みます。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入力した実績値に応じて、減算解除継続、遡及減算適用のいずれかが適用されます。</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11</xdr:col>
      <xdr:colOff>134471</xdr:colOff>
      <xdr:row>0</xdr:row>
      <xdr:rowOff>59765</xdr:rowOff>
    </xdr:from>
    <xdr:to>
      <xdr:col>11</xdr:col>
      <xdr:colOff>4021604</xdr:colOff>
      <xdr:row>10</xdr:row>
      <xdr:rowOff>22413</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12192000" y="59765"/>
          <a:ext cx="3887133" cy="1867648"/>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11</xdr:col>
      <xdr:colOff>123265</xdr:colOff>
      <xdr:row>11</xdr:row>
      <xdr:rowOff>186765</xdr:rowOff>
    </xdr:from>
    <xdr:to>
      <xdr:col>11</xdr:col>
      <xdr:colOff>4023472</xdr:colOff>
      <xdr:row>78</xdr:row>
      <xdr:rowOff>186764</xdr:rowOff>
    </xdr:to>
    <xdr:sp macro="" textlink="">
      <xdr:nvSpPr>
        <xdr:cNvPr id="3" name="正方形/長方形 2">
          <a:extLst>
            <a:ext uri="{FF2B5EF4-FFF2-40B4-BE49-F238E27FC236}">
              <a16:creationId xmlns:a16="http://schemas.microsoft.com/office/drawing/2014/main" id="{00000000-0008-0000-0A00-000003000000}"/>
            </a:ext>
          </a:extLst>
        </xdr:cNvPr>
        <xdr:cNvSpPr/>
      </xdr:nvSpPr>
      <xdr:spPr>
        <a:xfrm>
          <a:off x="12180794" y="2282265"/>
          <a:ext cx="3900207" cy="1257299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常勤換算</a:t>
          </a:r>
          <a:r>
            <a:rPr kumimoji="1" lang="en-US" altLang="ja-JP" sz="1000" b="1">
              <a:latin typeface="ＭＳ ゴシック" panose="020B0609070205080204" pitchFamily="49" charset="-128"/>
              <a:ea typeface="ＭＳ ゴシック" panose="020B0609070205080204" pitchFamily="49" charset="-128"/>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・下記の職員名簿に記載した教員</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保育士</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の配置状況の内訳を記載しています。人数に誤りがある場合は職員名簿に記入漏れ等が無いかをご確認ください。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就業規則等で定める所定労働時間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月を記入してください。</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入力が漏れると常勤換算数が計算されません</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常勤換算数</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常勤換算数を算出します。また、当該数値が様式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に引用されます。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職員名簿</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初日時点の事務職員等を含む全ての職員について記入してください。月途中で採用した職員は常勤・非常勤にかかわらず記載しないでください。</a:t>
          </a:r>
          <a:endPar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なお、業務委託と雇用職員（派遣含む）を分けて記載してください。業務委託については、保育士のみ常勤換算数に含まれます。 </a:t>
          </a: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①　職員氏名</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職員氏名を誤りなく記載。業務委託の場合は会社名を記載。</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②　職員状況</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・職種区分</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施設長、保育士、栄養士、調理員、事務員、その他、看護師・保健師から選択。業務委託の場合は選択不要。</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・初日時点の給与状況</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有給・有給（他法活用）・代替（助成金等対象）・無給を選択</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rgbClr val="0070C0"/>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rgbClr val="0070C0"/>
              </a:solidFill>
              <a:effectLst/>
              <a:latin typeface="ＭＳ ゴシック" panose="020B0609070205080204" pitchFamily="49" charset="-128"/>
              <a:ea typeface="ＭＳ ゴシック" panose="020B0609070205080204" pitchFamily="49" charset="-128"/>
              <a:cs typeface="+mn-cs"/>
            </a:rPr>
            <a:t>　有給（他法活用）</a:t>
          </a:r>
          <a:endParaRPr kumimoji="1" lang="en-US" altLang="ja-JP" sz="1000">
            <a:solidFill>
              <a:srgbClr val="0070C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rgbClr val="0070C0"/>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傷病手当金や特定求職者雇用開発助成金など、他制度を用いて職員給与を支払っている場合が該当します。</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rgbClr val="0070C0"/>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rgbClr val="0070C0"/>
              </a:solidFill>
              <a:effectLst/>
              <a:latin typeface="ＭＳ ゴシック" panose="020B0609070205080204" pitchFamily="49" charset="-128"/>
              <a:ea typeface="ＭＳ ゴシック" panose="020B0609070205080204" pitchFamily="49" charset="-128"/>
              <a:cs typeface="+mn-cs"/>
            </a:rPr>
            <a:t>　代替（助成金等対象）</a:t>
          </a:r>
          <a:endParaRPr kumimoji="1" lang="en-US" altLang="ja-JP" sz="1000">
            <a:solidFill>
              <a:srgbClr val="0070C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　小学校休校等助成金等による代替職員となります。これらの職員は助成金で措置される職員となるため、給付費を算出する職員配置には含まれません。</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　＜代替職員雇用に充てられる助成金の取扱い＞</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・休職職員（有給）：「有給」を選択。職員配置に含む</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・代替職員（有給）：「代替」を選択。職員配置に含まない　</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③　雇用形態</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・常勤、非常勤</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常勤、非常勤から選択。ただし、常勤だが他職種と兼務又は時短勤務職員は非常勤を選択。</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・契約形態</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常勤</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正職、臨職、嘱託契約、派遣契約から選択</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非常勤</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常勤－時短</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兼務、雇用契約、派遣契約、嘱託契約から選択。なお、パート職員は非常勤➡雇用契約です。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・非常勤の勤務時間</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業務委託の場合は直接入力、雇用職員の場合は様式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で入力。なお、入力は月当たりの予定時間数（単位は時間）とし、十進数で入力すること。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例：</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分➡</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20.5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⑤　雇用開始日</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雇用開始日を記載。記載は西暦で「○○年△月□日」の場合は「○○</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」。また、雇用開始日の下にある日付以前の方のみが入力可能。</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⑥　算入判定</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入力漏れ等があると「エラー」と表示されるため見直すこと。また、月初日に</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0</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歳児（乳児）が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人以上いる場合、一番上に記載された看護師・保健師を１名保育士としてカウントします。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b="1" i="0" u="none" strike="noStrike">
              <a:solidFill>
                <a:srgbClr val="FF0000"/>
              </a:solidFill>
              <a:effectLst/>
              <a:latin typeface="ＭＳ ゴシック" panose="020B0609070205080204" pitchFamily="49" charset="-128"/>
              <a:ea typeface="ＭＳ ゴシック" panose="020B0609070205080204" pitchFamily="49" charset="-128"/>
              <a:cs typeface="+mn-cs"/>
            </a:rPr>
            <a:t>＜注意＞</a:t>
          </a:r>
          <a:endParaRPr lang="en-US" altLang="ja-JP" sz="1000" b="1" i="0" u="none" strike="noStrike">
            <a:solidFill>
              <a:srgbClr val="FF0000"/>
            </a:solidFill>
            <a:effectLst/>
            <a:latin typeface="ＭＳ ゴシック" panose="020B0609070205080204" pitchFamily="49" charset="-128"/>
            <a:ea typeface="ＭＳ ゴシック" panose="020B0609070205080204" pitchFamily="49" charset="-128"/>
            <a:cs typeface="+mn-cs"/>
          </a:endParaRP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・勤務時間数は超過勤務時間を含みません。</a:t>
          </a:r>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0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原則「コピー＆ペースト」は行わないでください。</a:t>
          </a:r>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行う場合は貼付け時に「値のみ貼り付け」としてください。</a:t>
          </a:r>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・委託・派遣の場合は、勤務（予定）時間のわかる挙証書類を別途添付してください。</a:t>
          </a:r>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例</a:t>
          </a:r>
          <a:r>
            <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1</a:t>
          </a:r>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）月当たりに勤務時間が記載された契約書の写し</a:t>
          </a:r>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例</a:t>
          </a:r>
          <a:r>
            <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2</a:t>
          </a:r>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）派遣予定シフト表</a:t>
          </a:r>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32</xdr:col>
      <xdr:colOff>470647</xdr:colOff>
      <xdr:row>29</xdr:row>
      <xdr:rowOff>179294</xdr:rowOff>
    </xdr:from>
    <xdr:to>
      <xdr:col>34</xdr:col>
      <xdr:colOff>504265</xdr:colOff>
      <xdr:row>32</xdr:row>
      <xdr:rowOff>134471</xdr:rowOff>
    </xdr:to>
    <xdr:sp macro="" textlink="">
      <xdr:nvSpPr>
        <xdr:cNvPr id="4" name="吹き出し: 四角形 3">
          <a:extLst>
            <a:ext uri="{FF2B5EF4-FFF2-40B4-BE49-F238E27FC236}">
              <a16:creationId xmlns:a16="http://schemas.microsoft.com/office/drawing/2014/main" id="{DEEAA306-88C5-457C-B964-4925C433DC02}"/>
            </a:ext>
          </a:extLst>
        </xdr:cNvPr>
        <xdr:cNvSpPr/>
      </xdr:nvSpPr>
      <xdr:spPr>
        <a:xfrm>
          <a:off x="30042971" y="5703794"/>
          <a:ext cx="1848970" cy="526677"/>
        </a:xfrm>
        <a:prstGeom prst="wedgeRectCallout">
          <a:avLst>
            <a:gd name="adj1" fmla="val -23875"/>
            <a:gd name="adj2" fmla="val -12310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その他欄、経験年数を追加</a:t>
          </a:r>
        </a:p>
      </xdr:txBody>
    </xdr:sp>
    <xdr:clientData/>
  </xdr:twoCellAnchor>
  <xdr:twoCellAnchor>
    <xdr:from>
      <xdr:col>13</xdr:col>
      <xdr:colOff>437030</xdr:colOff>
      <xdr:row>38</xdr:row>
      <xdr:rowOff>156882</xdr:rowOff>
    </xdr:from>
    <xdr:to>
      <xdr:col>16</xdr:col>
      <xdr:colOff>504266</xdr:colOff>
      <xdr:row>42</xdr:row>
      <xdr:rowOff>179293</xdr:rowOff>
    </xdr:to>
    <xdr:sp macro="" textlink="">
      <xdr:nvSpPr>
        <xdr:cNvPr id="5" name="吹き出し: 四角形 4">
          <a:extLst>
            <a:ext uri="{FF2B5EF4-FFF2-40B4-BE49-F238E27FC236}">
              <a16:creationId xmlns:a16="http://schemas.microsoft.com/office/drawing/2014/main" id="{4910B95E-9628-4543-81C0-791F5498DBAD}"/>
            </a:ext>
          </a:extLst>
        </xdr:cNvPr>
        <xdr:cNvSpPr/>
      </xdr:nvSpPr>
      <xdr:spPr>
        <a:xfrm>
          <a:off x="16932089" y="6824382"/>
          <a:ext cx="1580030" cy="784411"/>
        </a:xfrm>
        <a:prstGeom prst="wedgeRectCallout">
          <a:avLst>
            <a:gd name="adj1" fmla="val -48724"/>
            <a:gd name="adj2" fmla="val -6778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その他欄を追加</a:t>
          </a:r>
        </a:p>
      </xdr:txBody>
    </xdr:sp>
    <xdr:clientData/>
  </xdr:twoCellAnchor>
  <xdr:twoCellAnchor>
    <xdr:from>
      <xdr:col>0</xdr:col>
      <xdr:colOff>0</xdr:colOff>
      <xdr:row>0</xdr:row>
      <xdr:rowOff>0</xdr:rowOff>
    </xdr:from>
    <xdr:to>
      <xdr:col>4</xdr:col>
      <xdr:colOff>1042147</xdr:colOff>
      <xdr:row>5</xdr:row>
      <xdr:rowOff>152400</xdr:rowOff>
    </xdr:to>
    <xdr:sp macro="" textlink="">
      <xdr:nvSpPr>
        <xdr:cNvPr id="6" name="テキスト ボックス 5">
          <a:extLst>
            <a:ext uri="{FF2B5EF4-FFF2-40B4-BE49-F238E27FC236}">
              <a16:creationId xmlns:a16="http://schemas.microsoft.com/office/drawing/2014/main" id="{8DF1E67D-1BB2-482C-BFDB-D7DC9848CF6F}"/>
            </a:ext>
          </a:extLst>
        </xdr:cNvPr>
        <xdr:cNvSpPr txBox="1"/>
      </xdr:nvSpPr>
      <xdr:spPr>
        <a:xfrm>
          <a:off x="0" y="0"/>
          <a:ext cx="5210735" cy="1104900"/>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t>試　算　様　式</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37</xdr:col>
      <xdr:colOff>74081</xdr:colOff>
      <xdr:row>0</xdr:row>
      <xdr:rowOff>10583</xdr:rowOff>
    </xdr:from>
    <xdr:to>
      <xdr:col>37</xdr:col>
      <xdr:colOff>3817405</xdr:colOff>
      <xdr:row>5</xdr:row>
      <xdr:rowOff>116417</xdr:rowOff>
    </xdr:to>
    <xdr:sp macro="" textlink="">
      <xdr:nvSpPr>
        <xdr:cNvPr id="2" name="正方形/長方形 1">
          <a:extLst>
            <a:ext uri="{FF2B5EF4-FFF2-40B4-BE49-F238E27FC236}">
              <a16:creationId xmlns:a16="http://schemas.microsoft.com/office/drawing/2014/main" id="{00000000-0008-0000-0B00-000002000000}"/>
            </a:ext>
          </a:extLst>
        </xdr:cNvPr>
        <xdr:cNvSpPr/>
      </xdr:nvSpPr>
      <xdr:spPr>
        <a:xfrm>
          <a:off x="16609481" y="10583"/>
          <a:ext cx="3743324" cy="1058334"/>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37</xdr:col>
      <xdr:colOff>74085</xdr:colOff>
      <xdr:row>7</xdr:row>
      <xdr:rowOff>10583</xdr:rowOff>
    </xdr:from>
    <xdr:to>
      <xdr:col>37</xdr:col>
      <xdr:colOff>3831167</xdr:colOff>
      <xdr:row>24</xdr:row>
      <xdr:rowOff>162983</xdr:rowOff>
    </xdr:to>
    <xdr:sp macro="" textlink="">
      <xdr:nvSpPr>
        <xdr:cNvPr id="3" name="正方形/長方形 2">
          <a:extLst>
            <a:ext uri="{FF2B5EF4-FFF2-40B4-BE49-F238E27FC236}">
              <a16:creationId xmlns:a16="http://schemas.microsoft.com/office/drawing/2014/main" id="{00000000-0008-0000-0B00-000003000000}"/>
            </a:ext>
          </a:extLst>
        </xdr:cNvPr>
        <xdr:cNvSpPr/>
      </xdr:nvSpPr>
      <xdr:spPr>
        <a:xfrm>
          <a:off x="16785168" y="1344083"/>
          <a:ext cx="3757082" cy="33909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氏名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様式</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からの自動引用です。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日にち・曜日</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の申請月の入力状況に応じて自動表示されます。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入力方法</a:t>
          </a:r>
          <a:r>
            <a:rPr kumimoji="1" lang="en-US" altLang="ja-JP" sz="1000" b="1">
              <a:latin typeface="ＭＳ ゴシック" panose="020B0609070205080204" pitchFamily="49" charset="-128"/>
              <a:ea typeface="ＭＳ ゴシック" panose="020B0609070205080204" pitchFamily="49" charset="-128"/>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・十進数で時間数を入力してください。単位は時間です。ご不明な場合は右上の時間数換算表をご使用ください。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例）</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分　→　○</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・入力は「数字」のみとし、「文字」は入力しないでください。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例）</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　→　○</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1.5</a:t>
          </a: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0</xdr:col>
      <xdr:colOff>1</xdr:colOff>
      <xdr:row>0</xdr:row>
      <xdr:rowOff>0</xdr:rowOff>
    </xdr:from>
    <xdr:to>
      <xdr:col>11</xdr:col>
      <xdr:colOff>381001</xdr:colOff>
      <xdr:row>5</xdr:row>
      <xdr:rowOff>152400</xdr:rowOff>
    </xdr:to>
    <xdr:sp macro="" textlink="">
      <xdr:nvSpPr>
        <xdr:cNvPr id="4" name="テキスト ボックス 3">
          <a:extLst>
            <a:ext uri="{FF2B5EF4-FFF2-40B4-BE49-F238E27FC236}">
              <a16:creationId xmlns:a16="http://schemas.microsoft.com/office/drawing/2014/main" id="{B4E922B7-534C-4DEF-A2C1-9F65D110CD49}"/>
            </a:ext>
          </a:extLst>
        </xdr:cNvPr>
        <xdr:cNvSpPr txBox="1"/>
      </xdr:nvSpPr>
      <xdr:spPr>
        <a:xfrm>
          <a:off x="1" y="0"/>
          <a:ext cx="5207000" cy="1104900"/>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t>試　算　様　式</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6</xdr:col>
      <xdr:colOff>104775</xdr:colOff>
      <xdr:row>0</xdr:row>
      <xdr:rowOff>0</xdr:rowOff>
    </xdr:from>
    <xdr:to>
      <xdr:col>6</xdr:col>
      <xdr:colOff>3771900</xdr:colOff>
      <xdr:row>5</xdr:row>
      <xdr:rowOff>123825</xdr:rowOff>
    </xdr:to>
    <xdr:sp macro="" textlink="">
      <xdr:nvSpPr>
        <xdr:cNvPr id="2" name="正方形/長方形 1">
          <a:extLst>
            <a:ext uri="{FF2B5EF4-FFF2-40B4-BE49-F238E27FC236}">
              <a16:creationId xmlns:a16="http://schemas.microsoft.com/office/drawing/2014/main" id="{00000000-0008-0000-0C00-000002000000}"/>
            </a:ext>
          </a:extLst>
        </xdr:cNvPr>
        <xdr:cNvSpPr/>
      </xdr:nvSpPr>
      <xdr:spPr>
        <a:xfrm>
          <a:off x="6705600" y="0"/>
          <a:ext cx="3667125" cy="118110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6</xdr:col>
      <xdr:colOff>104775</xdr:colOff>
      <xdr:row>5</xdr:row>
      <xdr:rowOff>304800</xdr:rowOff>
    </xdr:from>
    <xdr:to>
      <xdr:col>6</xdr:col>
      <xdr:colOff>3771900</xdr:colOff>
      <xdr:row>14</xdr:row>
      <xdr:rowOff>266700</xdr:rowOff>
    </xdr:to>
    <xdr:sp macro="" textlink="">
      <xdr:nvSpPr>
        <xdr:cNvPr id="3" name="正方形/長方形 2">
          <a:extLst>
            <a:ext uri="{FF2B5EF4-FFF2-40B4-BE49-F238E27FC236}">
              <a16:creationId xmlns:a16="http://schemas.microsoft.com/office/drawing/2014/main" id="{00000000-0008-0000-0C00-000003000000}"/>
            </a:ext>
          </a:extLst>
        </xdr:cNvPr>
        <xdr:cNvSpPr/>
      </xdr:nvSpPr>
      <xdr:spPr>
        <a:xfrm>
          <a:off x="6705600" y="1362075"/>
          <a:ext cx="3667125" cy="33909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入力方法</a:t>
          </a:r>
          <a:r>
            <a:rPr kumimoji="1" lang="en-US" altLang="ja-JP" sz="1000" b="1">
              <a:latin typeface="ＭＳ ゴシック" panose="020B0609070205080204" pitchFamily="49" charset="-128"/>
              <a:ea typeface="ＭＳ ゴシック" panose="020B0609070205080204" pitchFamily="49" charset="-128"/>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・学級担任は</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常勤専任</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である必要があります。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・主任保育士専任加算を取得している場合、学級担任を兼務することはできません。</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・年齢の高いクラス（年長）から記入してください。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・用紙が足りない場合はコピーしてください。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・本表と同様の内容が確認できる書類の提出がある場合は、本クラス編成表の提出を省略することができます。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・チーム保育推進加算を受ける場合は、年齢別配置基準を超えて、主に</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歳児について複数の保育士で保育する体制が整備されていることが必要です。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・列数や行数は自由に組み替えていただいて構いません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様式に保護は掛けていません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0</xdr:col>
      <xdr:colOff>0</xdr:colOff>
      <xdr:row>0</xdr:row>
      <xdr:rowOff>0</xdr:rowOff>
    </xdr:from>
    <xdr:to>
      <xdr:col>3</xdr:col>
      <xdr:colOff>923925</xdr:colOff>
      <xdr:row>5</xdr:row>
      <xdr:rowOff>152400</xdr:rowOff>
    </xdr:to>
    <xdr:sp macro="" textlink="">
      <xdr:nvSpPr>
        <xdr:cNvPr id="4" name="テキスト ボックス 3">
          <a:extLst>
            <a:ext uri="{FF2B5EF4-FFF2-40B4-BE49-F238E27FC236}">
              <a16:creationId xmlns:a16="http://schemas.microsoft.com/office/drawing/2014/main" id="{8BE2AB13-89AC-47A5-8DDB-9F20557E3F8F}"/>
            </a:ext>
          </a:extLst>
        </xdr:cNvPr>
        <xdr:cNvSpPr txBox="1"/>
      </xdr:nvSpPr>
      <xdr:spPr>
        <a:xfrm>
          <a:off x="0" y="0"/>
          <a:ext cx="3895725" cy="1209675"/>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t>試　算　様　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15</xdr:col>
      <xdr:colOff>33620</xdr:colOff>
      <xdr:row>0</xdr:row>
      <xdr:rowOff>11206</xdr:rowOff>
    </xdr:from>
    <xdr:to>
      <xdr:col>15</xdr:col>
      <xdr:colOff>3877236</xdr:colOff>
      <xdr:row>7</xdr:row>
      <xdr:rowOff>100854</xdr:rowOff>
    </xdr:to>
    <xdr:sp macro="" textlink="">
      <xdr:nvSpPr>
        <xdr:cNvPr id="2" name="正方形/長方形 1">
          <a:extLst>
            <a:ext uri="{FF2B5EF4-FFF2-40B4-BE49-F238E27FC236}">
              <a16:creationId xmlns:a16="http://schemas.microsoft.com/office/drawing/2014/main" id="{00000000-0008-0000-0D00-000002000000}"/>
            </a:ext>
          </a:extLst>
        </xdr:cNvPr>
        <xdr:cNvSpPr/>
      </xdr:nvSpPr>
      <xdr:spPr>
        <a:xfrm>
          <a:off x="12147179" y="11206"/>
          <a:ext cx="3843616" cy="1423148"/>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15</xdr:col>
      <xdr:colOff>56030</xdr:colOff>
      <xdr:row>8</xdr:row>
      <xdr:rowOff>67235</xdr:rowOff>
    </xdr:from>
    <xdr:to>
      <xdr:col>15</xdr:col>
      <xdr:colOff>3899647</xdr:colOff>
      <xdr:row>100</xdr:row>
      <xdr:rowOff>67235</xdr:rowOff>
    </xdr:to>
    <xdr:sp macro="" textlink="">
      <xdr:nvSpPr>
        <xdr:cNvPr id="3" name="正方形/長方形 2">
          <a:extLst>
            <a:ext uri="{FF2B5EF4-FFF2-40B4-BE49-F238E27FC236}">
              <a16:creationId xmlns:a16="http://schemas.microsoft.com/office/drawing/2014/main" id="{00000000-0008-0000-0D00-000003000000}"/>
            </a:ext>
          </a:extLst>
        </xdr:cNvPr>
        <xdr:cNvSpPr/>
      </xdr:nvSpPr>
      <xdr:spPr>
        <a:xfrm>
          <a:off x="12169589" y="1591235"/>
          <a:ext cx="3843617" cy="167640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利用児童状況</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・各月「</a:t>
          </a:r>
          <a:r>
            <a:rPr kumimoji="1" lang="ja-JP" altLang="en-US" sz="1000">
              <a:solidFill>
                <a:srgbClr val="FF0000"/>
              </a:solidFill>
              <a:latin typeface="ＭＳ ゴシック" panose="020B0609070205080204" pitchFamily="49" charset="-128"/>
              <a:ea typeface="ＭＳ ゴシック" panose="020B0609070205080204" pitchFamily="49" charset="-128"/>
            </a:rPr>
            <a:t>初日</a:t>
          </a:r>
          <a:r>
            <a:rPr kumimoji="1" lang="en-US" altLang="ja-JP" sz="1000">
              <a:solidFill>
                <a:srgbClr val="FF0000"/>
              </a:solidFill>
              <a:latin typeface="ＭＳ ゴシック" panose="020B0609070205080204" pitchFamily="49" charset="-128"/>
              <a:ea typeface="ＭＳ ゴシック" panose="020B0609070205080204" pitchFamily="49" charset="-128"/>
            </a:rPr>
            <a:t>(1</a:t>
          </a:r>
          <a:r>
            <a:rPr kumimoji="1" lang="ja-JP" altLang="en-US" sz="1000">
              <a:solidFill>
                <a:srgbClr val="FF0000"/>
              </a:solidFill>
              <a:latin typeface="ＭＳ ゴシック" panose="020B0609070205080204" pitchFamily="49" charset="-128"/>
              <a:ea typeface="ＭＳ ゴシック" panose="020B0609070205080204" pitchFamily="49" charset="-128"/>
            </a:rPr>
            <a:t>日</a:t>
          </a:r>
          <a:r>
            <a:rPr kumimoji="1" lang="en-US" altLang="ja-JP" sz="1000">
              <a:solidFill>
                <a:srgbClr val="FF0000"/>
              </a:solidFill>
              <a:latin typeface="ＭＳ ゴシック" panose="020B0609070205080204" pitchFamily="49" charset="-128"/>
              <a:ea typeface="ＭＳ ゴシック" panose="020B0609070205080204" pitchFamily="49" charset="-128"/>
            </a:rPr>
            <a:t>)</a:t>
          </a:r>
          <a:r>
            <a:rPr kumimoji="1" lang="ja-JP" altLang="en-US" sz="1000">
              <a:solidFill>
                <a:srgbClr val="FF0000"/>
              </a:solidFill>
              <a:latin typeface="ＭＳ ゴシック" panose="020B0609070205080204" pitchFamily="49" charset="-128"/>
              <a:ea typeface="ＭＳ ゴシック" panose="020B0609070205080204" pitchFamily="49" charset="-128"/>
            </a:rPr>
            <a:t>時点</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の在籍状況を記載すること（</a:t>
          </a:r>
          <a:r>
            <a:rPr kumimoji="1" lang="ja-JP" altLang="en-US" sz="1000">
              <a:solidFill>
                <a:srgbClr val="FF0000"/>
              </a:solidFill>
              <a:latin typeface="ＭＳ ゴシック" panose="020B0609070205080204" pitchFamily="49" charset="-128"/>
              <a:ea typeface="ＭＳ ゴシック" panose="020B0609070205080204" pitchFamily="49" charset="-128"/>
            </a:rPr>
            <a:t>月中途入所は記載しない</a:t>
          </a:r>
          <a:r>
            <a:rPr kumimoji="1" lang="ja-JP" altLang="en-US" sz="1000">
              <a:latin typeface="ＭＳ ゴシック" panose="020B0609070205080204" pitchFamily="49" charset="-128"/>
              <a:ea typeface="ＭＳ ゴシック" panose="020B0609070205080204" pitchFamily="49" charset="-128"/>
            </a:rPr>
            <a:t>）</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・年齢は「</a:t>
          </a:r>
          <a:r>
            <a:rPr kumimoji="1" lang="ja-JP" altLang="en-US" sz="1000">
              <a:solidFill>
                <a:srgbClr val="FF0000"/>
              </a:solidFill>
              <a:latin typeface="ＭＳ ゴシック" panose="020B0609070205080204" pitchFamily="49" charset="-128"/>
              <a:ea typeface="ＭＳ ゴシック" panose="020B0609070205080204" pitchFamily="49" charset="-128"/>
            </a:rPr>
            <a:t>クラス年齢</a:t>
          </a:r>
          <a:r>
            <a:rPr kumimoji="1" lang="ja-JP" altLang="en-US" sz="1000">
              <a:latin typeface="ＭＳ ゴシック" panose="020B0609070205080204" pitchFamily="49" charset="-128"/>
              <a:ea typeface="ＭＳ ゴシック" panose="020B0609070205080204" pitchFamily="49" charset="-128"/>
            </a:rPr>
            <a:t>」となります。なお、満</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歳児</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号児童</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のみクラス年齢ではないことに留意すること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号児童は保育必要量別（標準時間</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短時間）で記載すること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・札幌市内児童と札幌市外児童を分けて記載すること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職員配置は市内＋市外児童の合計数で算出</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加算・減算・補助金等</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　以下の構成となっており、それぞれ担当分を入力すること。なお、公定価格と補助金の担当者は重複できないため留意すること。また、補助金で挙げた担当者の人件費をそれぞれの補助金申請で計上すること。</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上段：公定価格に係る基本配置・加算・減算</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下段：補助金等</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①　項目</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基本配置や加算・減算の項目</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②　担当</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・職種</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配置すべき職種</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・配置者</a:t>
          </a:r>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条件</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申請状況が「○」「△」の場合は、配置条件が表示又は担当者名を選択する必要がある場合は「担当者名」欄に色が付く　</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担当者名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色がついている場合のみ、「項目」及び「職種」に応じた担当職員をドロップダウンから選択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勤務時間</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「担当者名」で選択した職員の勤務時間が表示</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確認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「担当者名」で選択した職員に応じて下記が表示。「○」以外は見直しが必要</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○：問題なし</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要常勤：常勤を選ぶべきところ非常勤を選択しているエラー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時間無：勤務時間</a:t>
          </a:r>
          <a:r>
            <a:rPr kumimoji="1" lang="en-US" altLang="ja-JP" sz="1000">
              <a:latin typeface="ＭＳ ゴシック" panose="020B0609070205080204" pitchFamily="49" charset="-128"/>
              <a:ea typeface="ＭＳ ゴシック" panose="020B0609070205080204" pitchFamily="49" charset="-128"/>
            </a:rPr>
            <a:t>0</a:t>
          </a:r>
          <a:r>
            <a:rPr kumimoji="1" lang="ja-JP" altLang="en-US" sz="1000">
              <a:latin typeface="ＭＳ ゴシック" panose="020B0609070205080204" pitchFamily="49" charset="-128"/>
              <a:ea typeface="ＭＳ ゴシック" panose="020B0609070205080204" pitchFamily="49" charset="-128"/>
            </a:rPr>
            <a:t>時間の職員を選択しているエラー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重複：他の基本配置、加算で既に選択しているエラー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名簿無：様式</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にいない職員を選択しているエラー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対象外：要件を満たさない職員を選択しているエラー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担当時間</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担当時間を分けることができる場合は色が付く。その際、担当時間を入力すると入力時間に応じた常勤換算数が別途算出</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・常勤換算数</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配置者に入力した状況に応じて常勤換算数が表示。下限設定がある場合は「調整」と表示されたうえで、調整後の常勤換算数が表示</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全計上：勤務時間＝担当時間</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調整①：非常勤職員の下限（</a:t>
          </a:r>
          <a:r>
            <a:rPr kumimoji="1" lang="en-US" altLang="ja-JP" sz="1000">
              <a:latin typeface="ＭＳ ゴシック" panose="020B0609070205080204" pitchFamily="49" charset="-128"/>
              <a:ea typeface="ＭＳ ゴシック" panose="020B0609070205080204" pitchFamily="49" charset="-128"/>
            </a:rPr>
            <a:t>0.5</a:t>
          </a:r>
          <a:r>
            <a:rPr kumimoji="1" lang="ja-JP" altLang="en-US" sz="1000">
              <a:latin typeface="ＭＳ ゴシック" panose="020B0609070205080204" pitchFamily="49" charset="-128"/>
              <a:ea typeface="ＭＳ ゴシック" panose="020B0609070205080204" pitchFamily="49" charset="-128"/>
            </a:rPr>
            <a:t>人</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月）。ただし、</a:t>
          </a:r>
          <a:r>
            <a:rPr kumimoji="1" lang="en-US" altLang="ja-JP" sz="1000">
              <a:latin typeface="ＭＳ ゴシック" panose="020B0609070205080204" pitchFamily="49" charset="-128"/>
              <a:ea typeface="ＭＳ ゴシック" panose="020B0609070205080204" pitchFamily="49" charset="-128"/>
            </a:rPr>
            <a:t>2021</a:t>
          </a:r>
          <a:r>
            <a:rPr kumimoji="1" lang="ja-JP" altLang="en-US" sz="1000">
              <a:latin typeface="ＭＳ ゴシック" panose="020B0609070205080204" pitchFamily="49" charset="-128"/>
              <a:ea typeface="ＭＳ ゴシック" panose="020B0609070205080204" pitchFamily="49" charset="-128"/>
            </a:rPr>
            <a:t>年度は下限設定なし</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エラー：担当時間＞勤務時間となっているか、担当時間に数値以外が入力されているため見直すこと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③　判定（取得数）</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・申請状況</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－各個票の入力状況に応じて申請状況を表示。申請が無い加算は取得できない。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申請あり：○又は△</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申請なし；</a:t>
          </a:r>
          <a:r>
            <a:rPr kumimoji="1" lang="en-US" altLang="ja-JP" sz="1000">
              <a:latin typeface="ＭＳ ゴシック" panose="020B0609070205080204" pitchFamily="49" charset="-128"/>
              <a:ea typeface="ＭＳ ゴシック" panose="020B0609070205080204" pitchFamily="49" charset="-128"/>
            </a:rPr>
            <a:t>×</a:t>
          </a:r>
        </a:p>
        <a:p>
          <a:pPr algn="l"/>
          <a:r>
            <a:rPr kumimoji="1" lang="ja-JP" altLang="en-US" sz="1000" b="1">
              <a:latin typeface="ＭＳ ゴシック" panose="020B0609070205080204" pitchFamily="49" charset="-128"/>
              <a:ea typeface="ＭＳ ゴシック" panose="020B0609070205080204" pitchFamily="49" charset="-128"/>
            </a:rPr>
            <a:t>・判定</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基本配置や加算</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減算の判定結果が表示。</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○：加算取得</a:t>
          </a:r>
          <a:r>
            <a:rPr kumimoji="1" lang="en-US" altLang="ja-JP" sz="1000">
              <a:latin typeface="ＭＳ ゴシック" panose="020B0609070205080204" pitchFamily="49" charset="-128"/>
              <a:ea typeface="ＭＳ ゴシック" panose="020B0609070205080204" pitchFamily="49" charset="-128"/>
            </a:rPr>
            <a:t>OK</a:t>
          </a:r>
        </a:p>
        <a:p>
          <a:pPr algn="l"/>
          <a:r>
            <a:rPr kumimoji="1" lang="ja-JP" altLang="en-US" sz="1000">
              <a:latin typeface="ＭＳ ゴシック" panose="020B0609070205080204" pitchFamily="49" charset="-128"/>
              <a:ea typeface="ＭＳ ゴシック" panose="020B0609070205080204" pitchFamily="49" charset="-128"/>
            </a:rPr>
            <a:t>　</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：加算要件等が満たされていない又は入力状況に誤りがあるため見直すこと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－：未申請</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数値：加算や減算の取得（配置）数が表記</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solidFill>
                <a:srgbClr val="FF0000"/>
              </a:solidFill>
              <a:latin typeface="ＭＳ ゴシック" panose="020B0609070205080204" pitchFamily="49" charset="-128"/>
              <a:ea typeface="ＭＳ ゴシック" panose="020B0609070205080204" pitchFamily="49" charset="-128"/>
            </a:rPr>
            <a:t>＜注意＞</a:t>
          </a:r>
          <a:endParaRPr kumimoji="1" lang="en-US" altLang="ja-JP" sz="10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・公定価格と補助金の担当者は重複できないため留意</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補助金で挙げた担当者の人件費をそれぞれの補助金申請で計上することを原則とし、その他配置ルール等は各補助金の規定に従うこと。なお、当該様式に表示されている常勤換算数は予定勤務時間であるため、各補助金計上時は実際時間数又は経費を計上すること。</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ja-JP" altLang="en-US"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配置数</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lang="ja-JP" altLang="en-US" sz="1000">
              <a:effectLst/>
              <a:latin typeface="ＭＳ ゴシック" panose="020B0609070205080204" pitchFamily="49" charset="-128"/>
              <a:ea typeface="ＭＳ ゴシック" panose="020B0609070205080204" pitchFamily="49" charset="-128"/>
            </a:rPr>
            <a:t>　様式</a:t>
          </a:r>
          <a:r>
            <a:rPr lang="en-US" altLang="ja-JP" sz="1000">
              <a:effectLst/>
              <a:latin typeface="ＭＳ ゴシック" panose="020B0609070205080204" pitchFamily="49" charset="-128"/>
              <a:ea typeface="ＭＳ ゴシック" panose="020B0609070205080204" pitchFamily="49" charset="-128"/>
            </a:rPr>
            <a:t>2</a:t>
          </a:r>
          <a:r>
            <a:rPr lang="ja-JP" altLang="en-US" sz="1000">
              <a:effectLst/>
              <a:latin typeface="ＭＳ ゴシック" panose="020B0609070205080204" pitchFamily="49" charset="-128"/>
              <a:ea typeface="ＭＳ ゴシック" panose="020B0609070205080204" pitchFamily="49" charset="-128"/>
            </a:rPr>
            <a:t>より自動引用。</a:t>
          </a:r>
          <a:endParaRPr lang="en-US" altLang="ja-JP" sz="1000">
            <a:effectLst/>
            <a:latin typeface="ＭＳ ゴシック" panose="020B0609070205080204" pitchFamily="49" charset="-128"/>
            <a:ea typeface="ＭＳ ゴシック" panose="020B0609070205080204" pitchFamily="49" charset="-128"/>
          </a:endParaRPr>
        </a:p>
        <a:p>
          <a:r>
            <a:rPr lang="ja-JP" altLang="en-US" sz="1000">
              <a:effectLst/>
              <a:latin typeface="ＭＳ ゴシック" panose="020B0609070205080204" pitchFamily="49" charset="-128"/>
              <a:ea typeface="ＭＳ ゴシック" panose="020B0609070205080204" pitchFamily="49" charset="-128"/>
            </a:rPr>
            <a:t>　基本配置の調理員又は事務員が不足する場合は、その他職種から流用する常勤換算数を入力し、基本配置を充足すること（調理員及び事務員は資格不要）</a:t>
          </a:r>
          <a:endParaRPr lang="en-US" altLang="ja-JP" sz="1000">
            <a:effectLst/>
            <a:latin typeface="ＭＳ ゴシック" panose="020B0609070205080204" pitchFamily="49" charset="-128"/>
            <a:ea typeface="ＭＳ ゴシック" panose="020B0609070205080204" pitchFamily="49" charset="-128"/>
          </a:endParaRPr>
        </a:p>
        <a:p>
          <a:endParaRPr lang="en-US"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必要職員数</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数</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公定価格上の基本配置や加算に必要な職員数を算出し、実際の配置数と比較し過不足を確認</a:t>
          </a:r>
          <a:endParaRPr lang="ja-JP" altLang="ja-JP" sz="1000" b="0">
            <a:effectLst/>
            <a:latin typeface="ＭＳ ゴシック" panose="020B0609070205080204" pitchFamily="49" charset="-128"/>
            <a:ea typeface="ＭＳ ゴシック" panose="020B0609070205080204" pitchFamily="49" charset="-128"/>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①　項目　</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職種ごとの基本配置や加算</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②　</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必要数</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留意事項に定められた必要数を自動算出</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③　配置数</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前述の配置数より自動引用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④　配置数</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必要数</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②</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‐③</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の結果を表示。マイナスになる場合、充足されていないため見直しが必要であり、見直し後もマイナスの場合は運営指導監査の指導対象となりえる</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222518</xdr:colOff>
      <xdr:row>33</xdr:row>
      <xdr:rowOff>163286</xdr:rowOff>
    </xdr:from>
    <xdr:to>
      <xdr:col>27</xdr:col>
      <xdr:colOff>326572</xdr:colOff>
      <xdr:row>51</xdr:row>
      <xdr:rowOff>136071</xdr:rowOff>
    </xdr:to>
    <xdr:sp macro="" textlink="">
      <xdr:nvSpPr>
        <xdr:cNvPr id="5" name="吹き出し: 四角形 4">
          <a:extLst>
            <a:ext uri="{FF2B5EF4-FFF2-40B4-BE49-F238E27FC236}">
              <a16:creationId xmlns:a16="http://schemas.microsoft.com/office/drawing/2014/main" id="{437B69FD-FF68-4DE4-AC4D-E1A8D9935B5E}"/>
            </a:ext>
          </a:extLst>
        </xdr:cNvPr>
        <xdr:cNvSpPr/>
      </xdr:nvSpPr>
      <xdr:spPr>
        <a:xfrm>
          <a:off x="16959304" y="6449786"/>
          <a:ext cx="4417518" cy="3401785"/>
        </a:xfrm>
        <a:prstGeom prst="wedgeRectCallout">
          <a:avLst>
            <a:gd name="adj1" fmla="val -38125"/>
            <a:gd name="adj2" fmla="val 77751"/>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t>作業　加配人数に応じて、</a:t>
          </a:r>
          <a:r>
            <a:rPr kumimoji="1" lang="en-US" altLang="ja-JP" sz="1600" b="1"/>
            <a:t>F53</a:t>
          </a:r>
          <a:r>
            <a:rPr kumimoji="1" lang="ja-JP" altLang="en-US" sz="1600" b="1"/>
            <a:t>：</a:t>
          </a:r>
          <a:r>
            <a:rPr kumimoji="1" lang="en-US" altLang="ja-JP" sz="1600" b="1"/>
            <a:t>H57</a:t>
          </a:r>
          <a:r>
            <a:rPr kumimoji="1" lang="ja-JP" altLang="en-US" sz="1600" b="1"/>
            <a:t>で選択しなければならない最低限の常勤換算数が変わるよう数式を入力</a:t>
          </a:r>
          <a:endParaRPr kumimoji="1" lang="en-US" altLang="ja-JP" sz="1600" b="1"/>
        </a:p>
        <a:p>
          <a:pPr algn="l"/>
          <a:endParaRPr kumimoji="1" lang="en-US" altLang="ja-JP" sz="1600" b="1"/>
        </a:p>
        <a:p>
          <a:pPr algn="l"/>
          <a:r>
            <a:rPr kumimoji="1" lang="ja-JP" altLang="en-US" sz="1600" b="1"/>
            <a:t>●変更前</a:t>
          </a:r>
          <a:endParaRPr kumimoji="1" lang="en-US" altLang="ja-JP" sz="1600" b="1"/>
        </a:p>
        <a:p>
          <a:pPr algn="l"/>
          <a:r>
            <a:rPr kumimoji="1" lang="en-US" altLang="ja-JP" sz="1600" b="1"/>
            <a:t>=(AND(L149&gt;=1,$O$138&gt;=0))</a:t>
          </a:r>
        </a:p>
        <a:p>
          <a:pPr algn="l"/>
          <a:endParaRPr kumimoji="1" lang="en-US" altLang="ja-JP" sz="1600" b="1"/>
        </a:p>
        <a:p>
          <a:pPr algn="l"/>
          <a:r>
            <a:rPr kumimoji="1" lang="ja-JP" altLang="en-US" sz="1600" b="1"/>
            <a:t>●変更後</a:t>
          </a:r>
          <a:endParaRPr kumimoji="1" lang="en-US" altLang="ja-JP" sz="1600" b="1"/>
        </a:p>
        <a:p>
          <a:pPr algn="l"/>
          <a:r>
            <a:rPr kumimoji="1" lang="en-US" altLang="ja-JP" sz="1600" b="1"/>
            <a:t>=(AND(L149&gt;=MIN(【</a:t>
          </a:r>
          <a:r>
            <a:rPr kumimoji="1" lang="ja-JP" altLang="en-US" sz="1600" b="1"/>
            <a:t>様式１</a:t>
          </a:r>
          <a:r>
            <a:rPr kumimoji="1" lang="en-US" altLang="ja-JP" sz="1600" b="1"/>
            <a:t>】</a:t>
          </a:r>
          <a:r>
            <a:rPr kumimoji="1" lang="ja-JP" altLang="en-US" sz="1600" b="1"/>
            <a:t>総括表・個票</a:t>
          </a:r>
          <a:r>
            <a:rPr kumimoji="1" lang="en-US" altLang="ja-JP" sz="1600" b="1"/>
            <a:t>!M136,【</a:t>
          </a:r>
          <a:r>
            <a:rPr kumimoji="1" lang="ja-JP" altLang="en-US" sz="1600" b="1"/>
            <a:t>様式１</a:t>
          </a:r>
          <a:r>
            <a:rPr kumimoji="1" lang="en-US" altLang="ja-JP" sz="1600" b="1"/>
            <a:t>】</a:t>
          </a:r>
          <a:r>
            <a:rPr kumimoji="1" lang="ja-JP" altLang="en-US" sz="1600" b="1"/>
            <a:t>総括表・個票</a:t>
          </a:r>
          <a:r>
            <a:rPr kumimoji="1" lang="en-US" altLang="ja-JP" sz="1600" b="1"/>
            <a:t>!W136),MIN(【</a:t>
          </a:r>
          <a:r>
            <a:rPr kumimoji="1" lang="ja-JP" altLang="en-US" sz="1600" b="1"/>
            <a:t>様式１</a:t>
          </a:r>
          <a:r>
            <a:rPr kumimoji="1" lang="en-US" altLang="ja-JP" sz="1600" b="1"/>
            <a:t>】</a:t>
          </a:r>
          <a:r>
            <a:rPr kumimoji="1" lang="ja-JP" altLang="en-US" sz="1600" b="1"/>
            <a:t>総括表・個票</a:t>
          </a:r>
          <a:r>
            <a:rPr kumimoji="1" lang="en-US" altLang="ja-JP" sz="1600" b="1"/>
            <a:t>!M136,【</a:t>
          </a:r>
          <a:r>
            <a:rPr kumimoji="1" lang="ja-JP" altLang="en-US" sz="1600" b="1"/>
            <a:t>様式１</a:t>
          </a:r>
          <a:r>
            <a:rPr kumimoji="1" lang="en-US" altLang="ja-JP" sz="1600" b="1"/>
            <a:t>】</a:t>
          </a:r>
          <a:r>
            <a:rPr kumimoji="1" lang="ja-JP" altLang="en-US" sz="1600" b="1"/>
            <a:t>総括表・個票</a:t>
          </a:r>
          <a:r>
            <a:rPr kumimoji="1" lang="en-US" altLang="ja-JP" sz="1600" b="1"/>
            <a:t>!W136)&gt;0,$O$138&gt;=0))</a:t>
          </a:r>
        </a:p>
      </xdr:txBody>
    </xdr:sp>
    <xdr:clientData/>
  </xdr:twoCellAnchor>
  <xdr:twoCellAnchor>
    <xdr:from>
      <xdr:col>19</xdr:col>
      <xdr:colOff>163286</xdr:colOff>
      <xdr:row>62</xdr:row>
      <xdr:rowOff>163286</xdr:rowOff>
    </xdr:from>
    <xdr:to>
      <xdr:col>30</xdr:col>
      <xdr:colOff>70757</xdr:colOff>
      <xdr:row>75</xdr:row>
      <xdr:rowOff>95250</xdr:rowOff>
    </xdr:to>
    <xdr:sp macro="" textlink="">
      <xdr:nvSpPr>
        <xdr:cNvPr id="7" name="吹き出し: 四角形 6">
          <a:extLst>
            <a:ext uri="{FF2B5EF4-FFF2-40B4-BE49-F238E27FC236}">
              <a16:creationId xmlns:a16="http://schemas.microsoft.com/office/drawing/2014/main" id="{3CBE8B6B-985D-41A9-B973-31B6AC7D53DB}"/>
            </a:ext>
          </a:extLst>
        </xdr:cNvPr>
        <xdr:cNvSpPr/>
      </xdr:nvSpPr>
      <xdr:spPr>
        <a:xfrm>
          <a:off x="17770929" y="11974286"/>
          <a:ext cx="4751614" cy="2408464"/>
        </a:xfrm>
        <a:prstGeom prst="wedgeRectCallout">
          <a:avLst>
            <a:gd name="adj1" fmla="val -55873"/>
            <a:gd name="adj2" fmla="val -74088"/>
          </a:avLst>
        </a:prstGeom>
        <a:solidFill>
          <a:srgbClr val="FFCCFF"/>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作業：</a:t>
          </a:r>
          <a:r>
            <a:rPr kumimoji="1" lang="en-US" altLang="ja-JP" sz="1600" b="1">
              <a:solidFill>
                <a:srgbClr val="FF0000"/>
              </a:solidFill>
            </a:rPr>
            <a:t>0.5</a:t>
          </a:r>
          <a:r>
            <a:rPr kumimoji="1" lang="ja-JP" altLang="en-US" sz="1600" b="1">
              <a:solidFill>
                <a:srgbClr val="FF0000"/>
              </a:solidFill>
            </a:rPr>
            <a:t>人以上積んでれば</a:t>
          </a:r>
          <a:r>
            <a:rPr kumimoji="1" lang="en-US" altLang="ja-JP" sz="1600" b="1">
              <a:solidFill>
                <a:srgbClr val="FF0000"/>
              </a:solidFill>
            </a:rPr>
            <a:t>1</a:t>
          </a:r>
          <a:r>
            <a:rPr kumimoji="1" lang="ja-JP" altLang="en-US" sz="1600" b="1">
              <a:solidFill>
                <a:srgbClr val="FF0000"/>
              </a:solidFill>
            </a:rPr>
            <a:t>人、</a:t>
          </a:r>
          <a:r>
            <a:rPr kumimoji="1" lang="en-US" altLang="ja-JP" sz="1600" b="1">
              <a:solidFill>
                <a:srgbClr val="FF0000"/>
              </a:solidFill>
            </a:rPr>
            <a:t>1.5</a:t>
          </a:r>
          <a:r>
            <a:rPr kumimoji="1" lang="ja-JP" altLang="en-US" sz="1600" b="1">
              <a:solidFill>
                <a:srgbClr val="FF0000"/>
              </a:solidFill>
            </a:rPr>
            <a:t>人以上積んでたら</a:t>
          </a:r>
          <a:r>
            <a:rPr kumimoji="1" lang="en-US" altLang="ja-JP" sz="1600" b="1">
              <a:solidFill>
                <a:srgbClr val="FF0000"/>
              </a:solidFill>
            </a:rPr>
            <a:t>2</a:t>
          </a:r>
          <a:r>
            <a:rPr kumimoji="1" lang="ja-JP" altLang="en-US" sz="1600" b="1">
              <a:solidFill>
                <a:srgbClr val="FF0000"/>
              </a:solidFill>
            </a:rPr>
            <a:t>人</a:t>
          </a:r>
          <a:r>
            <a:rPr kumimoji="1" lang="en-US" altLang="ja-JP" sz="1600" b="1">
              <a:solidFill>
                <a:srgbClr val="FF0000"/>
              </a:solidFill>
            </a:rPr>
            <a:t>OK</a:t>
          </a:r>
          <a:r>
            <a:rPr kumimoji="1" lang="ja-JP" altLang="en-US" sz="1600" b="1">
              <a:solidFill>
                <a:srgbClr val="FF0000"/>
              </a:solidFill>
            </a:rPr>
            <a:t>になるように修正が必要。あ</a:t>
          </a:r>
          <a:endParaRPr kumimoji="1" lang="en-US" altLang="ja-JP" sz="1600" b="1">
            <a:solidFill>
              <a:srgbClr val="FF0000"/>
            </a:solidFill>
          </a:endParaRPr>
        </a:p>
        <a:p>
          <a:pPr algn="l"/>
          <a:endParaRPr kumimoji="1" lang="en-US" altLang="ja-JP" sz="1600" b="1">
            <a:solidFill>
              <a:srgbClr val="FF0000"/>
            </a:solidFill>
          </a:endParaRPr>
        </a:p>
        <a:p>
          <a:pPr algn="l"/>
          <a:r>
            <a:rPr kumimoji="1" lang="ja-JP" altLang="en-US" sz="1600" b="1">
              <a:solidFill>
                <a:srgbClr val="FF0000"/>
              </a:solidFill>
            </a:rPr>
            <a:t>今のままでは、加算人数２人を選んでいるときに、２人工以上の職員を</a:t>
          </a:r>
          <a:r>
            <a:rPr kumimoji="1" lang="en-US" altLang="ja-JP" sz="1600" b="1">
              <a:solidFill>
                <a:srgbClr val="FF0000"/>
              </a:solidFill>
            </a:rPr>
            <a:t>F</a:t>
          </a:r>
          <a:r>
            <a:rPr kumimoji="1" lang="ja-JP" altLang="en-US" sz="1600" b="1">
              <a:solidFill>
                <a:srgbClr val="FF0000"/>
              </a:solidFill>
            </a:rPr>
            <a:t>５７～</a:t>
          </a:r>
          <a:r>
            <a:rPr kumimoji="1" lang="en-US" altLang="ja-JP" sz="1600" b="1">
              <a:solidFill>
                <a:srgbClr val="FF0000"/>
              </a:solidFill>
            </a:rPr>
            <a:t>F61</a:t>
          </a:r>
          <a:r>
            <a:rPr kumimoji="1" lang="ja-JP" altLang="en-US" sz="1600" b="1">
              <a:solidFill>
                <a:srgbClr val="FF0000"/>
              </a:solidFill>
            </a:rPr>
            <a:t>に入力する必要が出てくる。</a:t>
          </a:r>
          <a:endParaRPr kumimoji="1" lang="en-US" altLang="ja-JP" sz="1600" b="1">
            <a:solidFill>
              <a:srgbClr val="FF0000"/>
            </a:solidFill>
          </a:endParaRPr>
        </a:p>
        <a:p>
          <a:pPr algn="l"/>
          <a:r>
            <a:rPr kumimoji="1" lang="ja-JP" altLang="en-US" sz="1600" b="1">
              <a:solidFill>
                <a:srgbClr val="00B0F0"/>
              </a:solidFill>
            </a:rPr>
            <a:t>⇒</a:t>
          </a:r>
          <a:r>
            <a:rPr kumimoji="1" lang="en-US" altLang="ja-JP" sz="1600" b="1">
              <a:solidFill>
                <a:srgbClr val="00B0F0"/>
              </a:solidFill>
            </a:rPr>
            <a:t>0.5</a:t>
          </a:r>
          <a:r>
            <a:rPr kumimoji="1" lang="ja-JP" altLang="en-US" sz="1600" b="1">
              <a:solidFill>
                <a:srgbClr val="00B0F0"/>
              </a:solidFill>
            </a:rPr>
            <a:t>人以上積んでいれば１人、</a:t>
          </a:r>
          <a:r>
            <a:rPr kumimoji="1" lang="en-US" altLang="ja-JP" sz="1600" b="1">
              <a:solidFill>
                <a:srgbClr val="00B0F0"/>
              </a:solidFill>
            </a:rPr>
            <a:t>1.5</a:t>
          </a:r>
          <a:r>
            <a:rPr kumimoji="1" lang="ja-JP" altLang="en-US" sz="1600" b="1">
              <a:solidFill>
                <a:srgbClr val="00B0F0"/>
              </a:solidFill>
            </a:rPr>
            <a:t>人以上積んでいれば２人ＯＫになるよう修正しました。</a:t>
          </a:r>
          <a:endParaRPr kumimoji="1" lang="en-US" altLang="ja-JP" sz="1600" b="1">
            <a:solidFill>
              <a:srgbClr val="00B0F0"/>
            </a:solidFill>
          </a:endParaRPr>
        </a:p>
      </xdr:txBody>
    </xdr:sp>
    <xdr:clientData/>
  </xdr:twoCellAnchor>
  <xdr:twoCellAnchor>
    <xdr:from>
      <xdr:col>0</xdr:col>
      <xdr:colOff>0</xdr:colOff>
      <xdr:row>0</xdr:row>
      <xdr:rowOff>0</xdr:rowOff>
    </xdr:from>
    <xdr:to>
      <xdr:col>7</xdr:col>
      <xdr:colOff>340179</xdr:colOff>
      <xdr:row>5</xdr:row>
      <xdr:rowOff>152400</xdr:rowOff>
    </xdr:to>
    <xdr:sp macro="" textlink="">
      <xdr:nvSpPr>
        <xdr:cNvPr id="4" name="テキスト ボックス 3">
          <a:extLst>
            <a:ext uri="{FF2B5EF4-FFF2-40B4-BE49-F238E27FC236}">
              <a16:creationId xmlns:a16="http://schemas.microsoft.com/office/drawing/2014/main" id="{E0AAA885-9737-4C8C-9181-A37FA09D5861}"/>
            </a:ext>
          </a:extLst>
        </xdr:cNvPr>
        <xdr:cNvSpPr txBox="1"/>
      </xdr:nvSpPr>
      <xdr:spPr>
        <a:xfrm>
          <a:off x="0" y="0"/>
          <a:ext cx="6055179" cy="1104900"/>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t>試　算　様　式</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27</xdr:col>
      <xdr:colOff>54428</xdr:colOff>
      <xdr:row>0</xdr:row>
      <xdr:rowOff>0</xdr:rowOff>
    </xdr:from>
    <xdr:to>
      <xdr:col>27</xdr:col>
      <xdr:colOff>3797752</xdr:colOff>
      <xdr:row>6</xdr:row>
      <xdr:rowOff>38100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11375571" y="0"/>
          <a:ext cx="3743324" cy="118110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27</xdr:col>
      <xdr:colOff>81642</xdr:colOff>
      <xdr:row>6</xdr:row>
      <xdr:rowOff>163287</xdr:rowOff>
    </xdr:from>
    <xdr:to>
      <xdr:col>27</xdr:col>
      <xdr:colOff>3748767</xdr:colOff>
      <xdr:row>14</xdr:row>
      <xdr:rowOff>1311089</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1153054" y="1306287"/>
          <a:ext cx="3667125" cy="283989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記入方法</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・上から順に埋めてください。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なお、最終的には</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月時点で</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月の全月の加算状況が埋まるように作成してください。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使用方法</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当該様式は、以下の用途で使用いたします。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　施設～給付係間での加算申請状況の齟齬が無いかの確認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②　各精算時の様式作成補助（</a:t>
          </a:r>
          <a:r>
            <a:rPr kumimoji="1" lang="en-US" altLang="ja-JP" sz="1000">
              <a:latin typeface="ＭＳ ゴシック" panose="020B0609070205080204" pitchFamily="49" charset="-128"/>
              <a:ea typeface="ＭＳ ゴシック" panose="020B0609070205080204" pitchFamily="49" charset="-128"/>
            </a:rPr>
            <a:t>A</a:t>
          </a:r>
          <a:r>
            <a:rPr kumimoji="1" lang="ja-JP" altLang="en-US" sz="1000">
              <a:latin typeface="ＭＳ ゴシック" panose="020B0609070205080204" pitchFamily="49" charset="-128"/>
              <a:ea typeface="ＭＳ ゴシック" panose="020B0609070205080204" pitchFamily="49" charset="-128"/>
            </a:rPr>
            <a:t>基礎データ入力補助）</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注意</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・本様式は「申請書」ではありません。</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本様式で加算をご申請いただいても認定することはできませんのでご注意ください。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加算の申請は様式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で行っていただく必要があります。</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0</xdr:colOff>
      <xdr:row>0</xdr:row>
      <xdr:rowOff>0</xdr:rowOff>
    </xdr:from>
    <xdr:to>
      <xdr:col>21</xdr:col>
      <xdr:colOff>106846</xdr:colOff>
      <xdr:row>5</xdr:row>
      <xdr:rowOff>152400</xdr:rowOff>
    </xdr:to>
    <xdr:sp macro="" textlink="">
      <xdr:nvSpPr>
        <xdr:cNvPr id="4" name="テキスト ボックス 3">
          <a:extLst>
            <a:ext uri="{FF2B5EF4-FFF2-40B4-BE49-F238E27FC236}">
              <a16:creationId xmlns:a16="http://schemas.microsoft.com/office/drawing/2014/main" id="{7BEB0B98-3F49-4F90-87E0-1F98C30329F8}"/>
            </a:ext>
          </a:extLst>
        </xdr:cNvPr>
        <xdr:cNvSpPr txBox="1"/>
      </xdr:nvSpPr>
      <xdr:spPr>
        <a:xfrm>
          <a:off x="0" y="0"/>
          <a:ext cx="9049140" cy="1104900"/>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t>試　算　様　式</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A3:R679" totalsRowShown="0" headerRowDxfId="136" dataDxfId="135" tableBorderDxfId="134">
  <autoFilter ref="A3:R679" xr:uid="{00000000-0009-0000-0100-000001000000}"/>
  <sortState xmlns:xlrd2="http://schemas.microsoft.com/office/spreadsheetml/2017/richdata2" ref="A4:R701">
    <sortCondition ref="C3:C701"/>
  </sortState>
  <tableColumns count="18">
    <tableColumn id="1" xr3:uid="{00000000-0010-0000-0000-000001000000}" name="ソート①" dataDxfId="133"/>
    <tableColumn id="2" xr3:uid="{00000000-0010-0000-0000-000002000000}" name="列1" dataDxfId="132"/>
    <tableColumn id="3" xr3:uid="{00000000-0010-0000-0000-000003000000}" name="ソート②" dataDxfId="131"/>
    <tableColumn id="4" xr3:uid="{00000000-0010-0000-0000-000004000000}" name="列2" dataDxfId="130"/>
    <tableColumn id="5" xr3:uid="{00000000-0010-0000-0000-000005000000}" name="列3" dataDxfId="129"/>
    <tableColumn id="6" xr3:uid="{00000000-0010-0000-0000-000006000000}" name="列4" dataDxfId="128"/>
    <tableColumn id="7" xr3:uid="{00000000-0010-0000-0000-000007000000}" name="列5" dataDxfId="127"/>
    <tableColumn id="8" xr3:uid="{00000000-0010-0000-0000-000008000000}" name="列6" dataDxfId="126"/>
    <tableColumn id="9" xr3:uid="{00000000-0010-0000-0000-000009000000}" name="列7" dataDxfId="125"/>
    <tableColumn id="10" xr3:uid="{00000000-0010-0000-0000-00000A000000}" name="列8" dataDxfId="124"/>
    <tableColumn id="11" xr3:uid="{00000000-0010-0000-0000-00000B000000}" name="列9" dataDxfId="123"/>
    <tableColumn id="12" xr3:uid="{00000000-0010-0000-0000-00000C000000}" name="列10" dataDxfId="122"/>
    <tableColumn id="13" xr3:uid="{00000000-0010-0000-0000-00000D000000}" name="列11" dataDxfId="121"/>
    <tableColumn id="14" xr3:uid="{00000000-0010-0000-0000-00000E000000}" name="列12" dataDxfId="120"/>
    <tableColumn id="15" xr3:uid="{00000000-0010-0000-0000-00000F000000}" name="列13" dataDxfId="119"/>
    <tableColumn id="16" xr3:uid="{00000000-0010-0000-0000-000010000000}" name="列132" dataDxfId="118"/>
    <tableColumn id="18" xr3:uid="{00000000-0010-0000-0000-000012000000}" name="列133" dataDxfId="117" dataCellStyle="標準 3"/>
    <tableColumn id="17" xr3:uid="{00000000-0010-0000-0000-000011000000}" name="列14" dataDxfId="116"/>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kyufuhi@city.sapporo.jp" TargetMode="External"/><Relationship Id="rId1" Type="http://schemas.openxmlformats.org/officeDocument/2006/relationships/hyperlink" Target="mailto:kyufuhi@city.sapporo.jp"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DM981"/>
  <sheetViews>
    <sheetView workbookViewId="0">
      <pane xSplit="6" ySplit="3" topLeftCell="G155" activePane="bottomRight" state="frozen"/>
      <selection activeCell="E7" sqref="E7:E10"/>
      <selection pane="topRight" activeCell="E7" sqref="E7:E10"/>
      <selection pane="bottomLeft" activeCell="E7" sqref="E7:E10"/>
      <selection pane="bottomRight" activeCell="E7" sqref="E7:E10"/>
    </sheetView>
  </sheetViews>
  <sheetFormatPr defaultRowHeight="13.5"/>
  <cols>
    <col min="1" max="1" width="6.125" style="12" customWidth="1"/>
    <col min="2" max="2" width="8" style="12" customWidth="1"/>
    <col min="3" max="3" width="11.875" style="12" customWidth="1"/>
    <col min="4" max="5" width="8" style="12" customWidth="1"/>
    <col min="6" max="6" width="35.5" style="12" customWidth="1"/>
    <col min="7" max="7" width="14.125" style="12" customWidth="1"/>
    <col min="8" max="11" width="8" style="12" customWidth="1"/>
    <col min="12" max="12" width="8.875" style="12" customWidth="1"/>
    <col min="13" max="13" width="9" style="12" customWidth="1"/>
    <col min="14" max="14" width="10.5" style="12" customWidth="1"/>
    <col min="15" max="15" width="8.875" style="12" customWidth="1"/>
    <col min="16" max="17" width="9.75" style="12" customWidth="1"/>
    <col min="18" max="18" width="8.875" style="12" customWidth="1"/>
    <col min="19" max="21" width="6" style="12" customWidth="1"/>
    <col min="22" max="22" width="14" style="10" customWidth="1"/>
    <col min="23" max="23" width="17.375" style="10" customWidth="1"/>
    <col min="24" max="24" width="10.875" style="11" customWidth="1"/>
    <col min="25" max="33" width="9" style="10"/>
    <col min="34" max="76" width="9" style="12"/>
    <col min="77" max="77" width="13.75" style="12" customWidth="1"/>
    <col min="78" max="249" width="9" style="12"/>
    <col min="250" max="250" width="6" style="12" bestFit="1" customWidth="1"/>
    <col min="251" max="253" width="8" style="12" bestFit="1" customWidth="1"/>
    <col min="254" max="254" width="35.5" style="12" bestFit="1" customWidth="1"/>
    <col min="255" max="255" width="20.5" style="12" bestFit="1" customWidth="1"/>
    <col min="256" max="259" width="8" style="12" bestFit="1" customWidth="1"/>
    <col min="260" max="260" width="8.875" style="12" bestFit="1" customWidth="1"/>
    <col min="261" max="261" width="9" style="12"/>
    <col min="262" max="262" width="10.5" style="12" bestFit="1" customWidth="1"/>
    <col min="263" max="263" width="8.875" style="12" bestFit="1" customWidth="1"/>
    <col min="264" max="264" width="9.75" style="12" bestFit="1" customWidth="1"/>
    <col min="265" max="265" width="8.875" style="12" bestFit="1" customWidth="1"/>
    <col min="266" max="266" width="6" style="12" bestFit="1" customWidth="1"/>
    <col min="267" max="505" width="9" style="12"/>
    <col min="506" max="506" width="6" style="12" bestFit="1" customWidth="1"/>
    <col min="507" max="509" width="8" style="12" bestFit="1" customWidth="1"/>
    <col min="510" max="510" width="35.5" style="12" bestFit="1" customWidth="1"/>
    <col min="511" max="511" width="20.5" style="12" bestFit="1" customWidth="1"/>
    <col min="512" max="515" width="8" style="12" bestFit="1" customWidth="1"/>
    <col min="516" max="516" width="8.875" style="12" bestFit="1" customWidth="1"/>
    <col min="517" max="517" width="9" style="12"/>
    <col min="518" max="518" width="10.5" style="12" bestFit="1" customWidth="1"/>
    <col min="519" max="519" width="8.875" style="12" bestFit="1" customWidth="1"/>
    <col min="520" max="520" width="9.75" style="12" bestFit="1" customWidth="1"/>
    <col min="521" max="521" width="8.875" style="12" bestFit="1" customWidth="1"/>
    <col min="522" max="522" width="6" style="12" bestFit="1" customWidth="1"/>
    <col min="523" max="761" width="9" style="12"/>
    <col min="762" max="762" width="6" style="12" bestFit="1" customWidth="1"/>
    <col min="763" max="765" width="8" style="12" bestFit="1" customWidth="1"/>
    <col min="766" max="766" width="35.5" style="12" bestFit="1" customWidth="1"/>
    <col min="767" max="767" width="20.5" style="12" bestFit="1" customWidth="1"/>
    <col min="768" max="771" width="8" style="12" bestFit="1" customWidth="1"/>
    <col min="772" max="772" width="8.875" style="12" bestFit="1" customWidth="1"/>
    <col min="773" max="773" width="9" style="12"/>
    <col min="774" max="774" width="10.5" style="12" bestFit="1" customWidth="1"/>
    <col min="775" max="775" width="8.875" style="12" bestFit="1" customWidth="1"/>
    <col min="776" max="776" width="9.75" style="12" bestFit="1" customWidth="1"/>
    <col min="777" max="777" width="8.875" style="12" bestFit="1" customWidth="1"/>
    <col min="778" max="778" width="6" style="12" bestFit="1" customWidth="1"/>
    <col min="779" max="1017" width="9" style="12"/>
    <col min="1018" max="1018" width="6" style="12" bestFit="1" customWidth="1"/>
    <col min="1019" max="1021" width="8" style="12" bestFit="1" customWidth="1"/>
    <col min="1022" max="1022" width="35.5" style="12" bestFit="1" customWidth="1"/>
    <col min="1023" max="1023" width="20.5" style="12" bestFit="1" customWidth="1"/>
    <col min="1024" max="1027" width="8" style="12" bestFit="1" customWidth="1"/>
    <col min="1028" max="1028" width="8.875" style="12" bestFit="1" customWidth="1"/>
    <col min="1029" max="1029" width="9" style="12"/>
    <col min="1030" max="1030" width="10.5" style="12" bestFit="1" customWidth="1"/>
    <col min="1031" max="1031" width="8.875" style="12" bestFit="1" customWidth="1"/>
    <col min="1032" max="1032" width="9.75" style="12" bestFit="1" customWidth="1"/>
    <col min="1033" max="1033" width="8.875" style="12" bestFit="1" customWidth="1"/>
    <col min="1034" max="1034" width="6" style="12" bestFit="1" customWidth="1"/>
    <col min="1035" max="1273" width="9" style="12"/>
    <col min="1274" max="1274" width="6" style="12" bestFit="1" customWidth="1"/>
    <col min="1275" max="1277" width="8" style="12" bestFit="1" customWidth="1"/>
    <col min="1278" max="1278" width="35.5" style="12" bestFit="1" customWidth="1"/>
    <col min="1279" max="1279" width="20.5" style="12" bestFit="1" customWidth="1"/>
    <col min="1280" max="1283" width="8" style="12" bestFit="1" customWidth="1"/>
    <col min="1284" max="1284" width="8.875" style="12" bestFit="1" customWidth="1"/>
    <col min="1285" max="1285" width="9" style="12"/>
    <col min="1286" max="1286" width="10.5" style="12" bestFit="1" customWidth="1"/>
    <col min="1287" max="1287" width="8.875" style="12" bestFit="1" customWidth="1"/>
    <col min="1288" max="1288" width="9.75" style="12" bestFit="1" customWidth="1"/>
    <col min="1289" max="1289" width="8.875" style="12" bestFit="1" customWidth="1"/>
    <col min="1290" max="1290" width="6" style="12" bestFit="1" customWidth="1"/>
    <col min="1291" max="1529" width="9" style="12"/>
    <col min="1530" max="1530" width="6" style="12" bestFit="1" customWidth="1"/>
    <col min="1531" max="1533" width="8" style="12" bestFit="1" customWidth="1"/>
    <col min="1534" max="1534" width="35.5" style="12" bestFit="1" customWidth="1"/>
    <col min="1535" max="1535" width="20.5" style="12" bestFit="1" customWidth="1"/>
    <col min="1536" max="1539" width="8" style="12" bestFit="1" customWidth="1"/>
    <col min="1540" max="1540" width="8.875" style="12" bestFit="1" customWidth="1"/>
    <col min="1541" max="1541" width="9" style="12"/>
    <col min="1542" max="1542" width="10.5" style="12" bestFit="1" customWidth="1"/>
    <col min="1543" max="1543" width="8.875" style="12" bestFit="1" customWidth="1"/>
    <col min="1544" max="1544" width="9.75" style="12" bestFit="1" customWidth="1"/>
    <col min="1545" max="1545" width="8.875" style="12" bestFit="1" customWidth="1"/>
    <col min="1546" max="1546" width="6" style="12" bestFit="1" customWidth="1"/>
    <col min="1547" max="1785" width="9" style="12"/>
    <col min="1786" max="1786" width="6" style="12" bestFit="1" customWidth="1"/>
    <col min="1787" max="1789" width="8" style="12" bestFit="1" customWidth="1"/>
    <col min="1790" max="1790" width="35.5" style="12" bestFit="1" customWidth="1"/>
    <col min="1791" max="1791" width="20.5" style="12" bestFit="1" customWidth="1"/>
    <col min="1792" max="1795" width="8" style="12" bestFit="1" customWidth="1"/>
    <col min="1796" max="1796" width="8.875" style="12" bestFit="1" customWidth="1"/>
    <col min="1797" max="1797" width="9" style="12"/>
    <col min="1798" max="1798" width="10.5" style="12" bestFit="1" customWidth="1"/>
    <col min="1799" max="1799" width="8.875" style="12" bestFit="1" customWidth="1"/>
    <col min="1800" max="1800" width="9.75" style="12" bestFit="1" customWidth="1"/>
    <col min="1801" max="1801" width="8.875" style="12" bestFit="1" customWidth="1"/>
    <col min="1802" max="1802" width="6" style="12" bestFit="1" customWidth="1"/>
    <col min="1803" max="2041" width="9" style="12"/>
    <col min="2042" max="2042" width="6" style="12" bestFit="1" customWidth="1"/>
    <col min="2043" max="2045" width="8" style="12" bestFit="1" customWidth="1"/>
    <col min="2046" max="2046" width="35.5" style="12" bestFit="1" customWidth="1"/>
    <col min="2047" max="2047" width="20.5" style="12" bestFit="1" customWidth="1"/>
    <col min="2048" max="2051" width="8" style="12" bestFit="1" customWidth="1"/>
    <col min="2052" max="2052" width="8.875" style="12" bestFit="1" customWidth="1"/>
    <col min="2053" max="2053" width="9" style="12"/>
    <col min="2054" max="2054" width="10.5" style="12" bestFit="1" customWidth="1"/>
    <col min="2055" max="2055" width="8.875" style="12" bestFit="1" customWidth="1"/>
    <col min="2056" max="2056" width="9.75" style="12" bestFit="1" customWidth="1"/>
    <col min="2057" max="2057" width="8.875" style="12" bestFit="1" customWidth="1"/>
    <col min="2058" max="2058" width="6" style="12" bestFit="1" customWidth="1"/>
    <col min="2059" max="2297" width="9" style="12"/>
    <col min="2298" max="2298" width="6" style="12" bestFit="1" customWidth="1"/>
    <col min="2299" max="2301" width="8" style="12" bestFit="1" customWidth="1"/>
    <col min="2302" max="2302" width="35.5" style="12" bestFit="1" customWidth="1"/>
    <col min="2303" max="2303" width="20.5" style="12" bestFit="1" customWidth="1"/>
    <col min="2304" max="2307" width="8" style="12" bestFit="1" customWidth="1"/>
    <col min="2308" max="2308" width="8.875" style="12" bestFit="1" customWidth="1"/>
    <col min="2309" max="2309" width="9" style="12"/>
    <col min="2310" max="2310" width="10.5" style="12" bestFit="1" customWidth="1"/>
    <col min="2311" max="2311" width="8.875" style="12" bestFit="1" customWidth="1"/>
    <col min="2312" max="2312" width="9.75" style="12" bestFit="1" customWidth="1"/>
    <col min="2313" max="2313" width="8.875" style="12" bestFit="1" customWidth="1"/>
    <col min="2314" max="2314" width="6" style="12" bestFit="1" customWidth="1"/>
    <col min="2315" max="2553" width="9" style="12"/>
    <col min="2554" max="2554" width="6" style="12" bestFit="1" customWidth="1"/>
    <col min="2555" max="2557" width="8" style="12" bestFit="1" customWidth="1"/>
    <col min="2558" max="2558" width="35.5" style="12" bestFit="1" customWidth="1"/>
    <col min="2559" max="2559" width="20.5" style="12" bestFit="1" customWidth="1"/>
    <col min="2560" max="2563" width="8" style="12" bestFit="1" customWidth="1"/>
    <col min="2564" max="2564" width="8.875" style="12" bestFit="1" customWidth="1"/>
    <col min="2565" max="2565" width="9" style="12"/>
    <col min="2566" max="2566" width="10.5" style="12" bestFit="1" customWidth="1"/>
    <col min="2567" max="2567" width="8.875" style="12" bestFit="1" customWidth="1"/>
    <col min="2568" max="2568" width="9.75" style="12" bestFit="1" customWidth="1"/>
    <col min="2569" max="2569" width="8.875" style="12" bestFit="1" customWidth="1"/>
    <col min="2570" max="2570" width="6" style="12" bestFit="1" customWidth="1"/>
    <col min="2571" max="2809" width="9" style="12"/>
    <col min="2810" max="2810" width="6" style="12" bestFit="1" customWidth="1"/>
    <col min="2811" max="2813" width="8" style="12" bestFit="1" customWidth="1"/>
    <col min="2814" max="2814" width="35.5" style="12" bestFit="1" customWidth="1"/>
    <col min="2815" max="2815" width="20.5" style="12" bestFit="1" customWidth="1"/>
    <col min="2816" max="2819" width="8" style="12" bestFit="1" customWidth="1"/>
    <col min="2820" max="2820" width="8.875" style="12" bestFit="1" customWidth="1"/>
    <col min="2821" max="2821" width="9" style="12"/>
    <col min="2822" max="2822" width="10.5" style="12" bestFit="1" customWidth="1"/>
    <col min="2823" max="2823" width="8.875" style="12" bestFit="1" customWidth="1"/>
    <col min="2824" max="2824" width="9.75" style="12" bestFit="1" customWidth="1"/>
    <col min="2825" max="2825" width="8.875" style="12" bestFit="1" customWidth="1"/>
    <col min="2826" max="2826" width="6" style="12" bestFit="1" customWidth="1"/>
    <col min="2827" max="3065" width="9" style="12"/>
    <col min="3066" max="3066" width="6" style="12" bestFit="1" customWidth="1"/>
    <col min="3067" max="3069" width="8" style="12" bestFit="1" customWidth="1"/>
    <col min="3070" max="3070" width="35.5" style="12" bestFit="1" customWidth="1"/>
    <col min="3071" max="3071" width="20.5" style="12" bestFit="1" customWidth="1"/>
    <col min="3072" max="3075" width="8" style="12" bestFit="1" customWidth="1"/>
    <col min="3076" max="3076" width="8.875" style="12" bestFit="1" customWidth="1"/>
    <col min="3077" max="3077" width="9" style="12"/>
    <col min="3078" max="3078" width="10.5" style="12" bestFit="1" customWidth="1"/>
    <col min="3079" max="3079" width="8.875" style="12" bestFit="1" customWidth="1"/>
    <col min="3080" max="3080" width="9.75" style="12" bestFit="1" customWidth="1"/>
    <col min="3081" max="3081" width="8.875" style="12" bestFit="1" customWidth="1"/>
    <col min="3082" max="3082" width="6" style="12" bestFit="1" customWidth="1"/>
    <col min="3083" max="3321" width="9" style="12"/>
    <col min="3322" max="3322" width="6" style="12" bestFit="1" customWidth="1"/>
    <col min="3323" max="3325" width="8" style="12" bestFit="1" customWidth="1"/>
    <col min="3326" max="3326" width="35.5" style="12" bestFit="1" customWidth="1"/>
    <col min="3327" max="3327" width="20.5" style="12" bestFit="1" customWidth="1"/>
    <col min="3328" max="3331" width="8" style="12" bestFit="1" customWidth="1"/>
    <col min="3332" max="3332" width="8.875" style="12" bestFit="1" customWidth="1"/>
    <col min="3333" max="3333" width="9" style="12"/>
    <col min="3334" max="3334" width="10.5" style="12" bestFit="1" customWidth="1"/>
    <col min="3335" max="3335" width="8.875" style="12" bestFit="1" customWidth="1"/>
    <col min="3336" max="3336" width="9.75" style="12" bestFit="1" customWidth="1"/>
    <col min="3337" max="3337" width="8.875" style="12" bestFit="1" customWidth="1"/>
    <col min="3338" max="3338" width="6" style="12" bestFit="1" customWidth="1"/>
    <col min="3339" max="3577" width="9" style="12"/>
    <col min="3578" max="3578" width="6" style="12" bestFit="1" customWidth="1"/>
    <col min="3579" max="3581" width="8" style="12" bestFit="1" customWidth="1"/>
    <col min="3582" max="3582" width="35.5" style="12" bestFit="1" customWidth="1"/>
    <col min="3583" max="3583" width="20.5" style="12" bestFit="1" customWidth="1"/>
    <col min="3584" max="3587" width="8" style="12" bestFit="1" customWidth="1"/>
    <col min="3588" max="3588" width="8.875" style="12" bestFit="1" customWidth="1"/>
    <col min="3589" max="3589" width="9" style="12"/>
    <col min="3590" max="3590" width="10.5" style="12" bestFit="1" customWidth="1"/>
    <col min="3591" max="3591" width="8.875" style="12" bestFit="1" customWidth="1"/>
    <col min="3592" max="3592" width="9.75" style="12" bestFit="1" customWidth="1"/>
    <col min="3593" max="3593" width="8.875" style="12" bestFit="1" customWidth="1"/>
    <col min="3594" max="3594" width="6" style="12" bestFit="1" customWidth="1"/>
    <col min="3595" max="3833" width="9" style="12"/>
    <col min="3834" max="3834" width="6" style="12" bestFit="1" customWidth="1"/>
    <col min="3835" max="3837" width="8" style="12" bestFit="1" customWidth="1"/>
    <col min="3838" max="3838" width="35.5" style="12" bestFit="1" customWidth="1"/>
    <col min="3839" max="3839" width="20.5" style="12" bestFit="1" customWidth="1"/>
    <col min="3840" max="3843" width="8" style="12" bestFit="1" customWidth="1"/>
    <col min="3844" max="3844" width="8.875" style="12" bestFit="1" customWidth="1"/>
    <col min="3845" max="3845" width="9" style="12"/>
    <col min="3846" max="3846" width="10.5" style="12" bestFit="1" customWidth="1"/>
    <col min="3847" max="3847" width="8.875" style="12" bestFit="1" customWidth="1"/>
    <col min="3848" max="3848" width="9.75" style="12" bestFit="1" customWidth="1"/>
    <col min="3849" max="3849" width="8.875" style="12" bestFit="1" customWidth="1"/>
    <col min="3850" max="3850" width="6" style="12" bestFit="1" customWidth="1"/>
    <col min="3851" max="4089" width="9" style="12"/>
    <col min="4090" max="4090" width="6" style="12" bestFit="1" customWidth="1"/>
    <col min="4091" max="4093" width="8" style="12" bestFit="1" customWidth="1"/>
    <col min="4094" max="4094" width="35.5" style="12" bestFit="1" customWidth="1"/>
    <col min="4095" max="4095" width="20.5" style="12" bestFit="1" customWidth="1"/>
    <col min="4096" max="4099" width="8" style="12" bestFit="1" customWidth="1"/>
    <col min="4100" max="4100" width="8.875" style="12" bestFit="1" customWidth="1"/>
    <col min="4101" max="4101" width="9" style="12"/>
    <col min="4102" max="4102" width="10.5" style="12" bestFit="1" customWidth="1"/>
    <col min="4103" max="4103" width="8.875" style="12" bestFit="1" customWidth="1"/>
    <col min="4104" max="4104" width="9.75" style="12" bestFit="1" customWidth="1"/>
    <col min="4105" max="4105" width="8.875" style="12" bestFit="1" customWidth="1"/>
    <col min="4106" max="4106" width="6" style="12" bestFit="1" customWidth="1"/>
    <col min="4107" max="4345" width="9" style="12"/>
    <col min="4346" max="4346" width="6" style="12" bestFit="1" customWidth="1"/>
    <col min="4347" max="4349" width="8" style="12" bestFit="1" customWidth="1"/>
    <col min="4350" max="4350" width="35.5" style="12" bestFit="1" customWidth="1"/>
    <col min="4351" max="4351" width="20.5" style="12" bestFit="1" customWidth="1"/>
    <col min="4352" max="4355" width="8" style="12" bestFit="1" customWidth="1"/>
    <col min="4356" max="4356" width="8.875" style="12" bestFit="1" customWidth="1"/>
    <col min="4357" max="4357" width="9" style="12"/>
    <col min="4358" max="4358" width="10.5" style="12" bestFit="1" customWidth="1"/>
    <col min="4359" max="4359" width="8.875" style="12" bestFit="1" customWidth="1"/>
    <col min="4360" max="4360" width="9.75" style="12" bestFit="1" customWidth="1"/>
    <col min="4361" max="4361" width="8.875" style="12" bestFit="1" customWidth="1"/>
    <col min="4362" max="4362" width="6" style="12" bestFit="1" customWidth="1"/>
    <col min="4363" max="4601" width="9" style="12"/>
    <col min="4602" max="4602" width="6" style="12" bestFit="1" customWidth="1"/>
    <col min="4603" max="4605" width="8" style="12" bestFit="1" customWidth="1"/>
    <col min="4606" max="4606" width="35.5" style="12" bestFit="1" customWidth="1"/>
    <col min="4607" max="4607" width="20.5" style="12" bestFit="1" customWidth="1"/>
    <col min="4608" max="4611" width="8" style="12" bestFit="1" customWidth="1"/>
    <col min="4612" max="4612" width="8.875" style="12" bestFit="1" customWidth="1"/>
    <col min="4613" max="4613" width="9" style="12"/>
    <col min="4614" max="4614" width="10.5" style="12" bestFit="1" customWidth="1"/>
    <col min="4615" max="4615" width="8.875" style="12" bestFit="1" customWidth="1"/>
    <col min="4616" max="4616" width="9.75" style="12" bestFit="1" customWidth="1"/>
    <col min="4617" max="4617" width="8.875" style="12" bestFit="1" customWidth="1"/>
    <col min="4618" max="4618" width="6" style="12" bestFit="1" customWidth="1"/>
    <col min="4619" max="4857" width="9" style="12"/>
    <col min="4858" max="4858" width="6" style="12" bestFit="1" customWidth="1"/>
    <col min="4859" max="4861" width="8" style="12" bestFit="1" customWidth="1"/>
    <col min="4862" max="4862" width="35.5" style="12" bestFit="1" customWidth="1"/>
    <col min="4863" max="4863" width="20.5" style="12" bestFit="1" customWidth="1"/>
    <col min="4864" max="4867" width="8" style="12" bestFit="1" customWidth="1"/>
    <col min="4868" max="4868" width="8.875" style="12" bestFit="1" customWidth="1"/>
    <col min="4869" max="4869" width="9" style="12"/>
    <col min="4870" max="4870" width="10.5" style="12" bestFit="1" customWidth="1"/>
    <col min="4871" max="4871" width="8.875" style="12" bestFit="1" customWidth="1"/>
    <col min="4872" max="4872" width="9.75" style="12" bestFit="1" customWidth="1"/>
    <col min="4873" max="4873" width="8.875" style="12" bestFit="1" customWidth="1"/>
    <col min="4874" max="4874" width="6" style="12" bestFit="1" customWidth="1"/>
    <col min="4875" max="5113" width="9" style="12"/>
    <col min="5114" max="5114" width="6" style="12" bestFit="1" customWidth="1"/>
    <col min="5115" max="5117" width="8" style="12" bestFit="1" customWidth="1"/>
    <col min="5118" max="5118" width="35.5" style="12" bestFit="1" customWidth="1"/>
    <col min="5119" max="5119" width="20.5" style="12" bestFit="1" customWidth="1"/>
    <col min="5120" max="5123" width="8" style="12" bestFit="1" customWidth="1"/>
    <col min="5124" max="5124" width="8.875" style="12" bestFit="1" customWidth="1"/>
    <col min="5125" max="5125" width="9" style="12"/>
    <col min="5126" max="5126" width="10.5" style="12" bestFit="1" customWidth="1"/>
    <col min="5127" max="5127" width="8.875" style="12" bestFit="1" customWidth="1"/>
    <col min="5128" max="5128" width="9.75" style="12" bestFit="1" customWidth="1"/>
    <col min="5129" max="5129" width="8.875" style="12" bestFit="1" customWidth="1"/>
    <col min="5130" max="5130" width="6" style="12" bestFit="1" customWidth="1"/>
    <col min="5131" max="5369" width="9" style="12"/>
    <col min="5370" max="5370" width="6" style="12" bestFit="1" customWidth="1"/>
    <col min="5371" max="5373" width="8" style="12" bestFit="1" customWidth="1"/>
    <col min="5374" max="5374" width="35.5" style="12" bestFit="1" customWidth="1"/>
    <col min="5375" max="5375" width="20.5" style="12" bestFit="1" customWidth="1"/>
    <col min="5376" max="5379" width="8" style="12" bestFit="1" customWidth="1"/>
    <col min="5380" max="5380" width="8.875" style="12" bestFit="1" customWidth="1"/>
    <col min="5381" max="5381" width="9" style="12"/>
    <col min="5382" max="5382" width="10.5" style="12" bestFit="1" customWidth="1"/>
    <col min="5383" max="5383" width="8.875" style="12" bestFit="1" customWidth="1"/>
    <col min="5384" max="5384" width="9.75" style="12" bestFit="1" customWidth="1"/>
    <col min="5385" max="5385" width="8.875" style="12" bestFit="1" customWidth="1"/>
    <col min="5386" max="5386" width="6" style="12" bestFit="1" customWidth="1"/>
    <col min="5387" max="5625" width="9" style="12"/>
    <col min="5626" max="5626" width="6" style="12" bestFit="1" customWidth="1"/>
    <col min="5627" max="5629" width="8" style="12" bestFit="1" customWidth="1"/>
    <col min="5630" max="5630" width="35.5" style="12" bestFit="1" customWidth="1"/>
    <col min="5631" max="5631" width="20.5" style="12" bestFit="1" customWidth="1"/>
    <col min="5632" max="5635" width="8" style="12" bestFit="1" customWidth="1"/>
    <col min="5636" max="5636" width="8.875" style="12" bestFit="1" customWidth="1"/>
    <col min="5637" max="5637" width="9" style="12"/>
    <col min="5638" max="5638" width="10.5" style="12" bestFit="1" customWidth="1"/>
    <col min="5639" max="5639" width="8.875" style="12" bestFit="1" customWidth="1"/>
    <col min="5640" max="5640" width="9.75" style="12" bestFit="1" customWidth="1"/>
    <col min="5641" max="5641" width="8.875" style="12" bestFit="1" customWidth="1"/>
    <col min="5642" max="5642" width="6" style="12" bestFit="1" customWidth="1"/>
    <col min="5643" max="5881" width="9" style="12"/>
    <col min="5882" max="5882" width="6" style="12" bestFit="1" customWidth="1"/>
    <col min="5883" max="5885" width="8" style="12" bestFit="1" customWidth="1"/>
    <col min="5886" max="5886" width="35.5" style="12" bestFit="1" customWidth="1"/>
    <col min="5887" max="5887" width="20.5" style="12" bestFit="1" customWidth="1"/>
    <col min="5888" max="5891" width="8" style="12" bestFit="1" customWidth="1"/>
    <col min="5892" max="5892" width="8.875" style="12" bestFit="1" customWidth="1"/>
    <col min="5893" max="5893" width="9" style="12"/>
    <col min="5894" max="5894" width="10.5" style="12" bestFit="1" customWidth="1"/>
    <col min="5895" max="5895" width="8.875" style="12" bestFit="1" customWidth="1"/>
    <col min="5896" max="5896" width="9.75" style="12" bestFit="1" customWidth="1"/>
    <col min="5897" max="5897" width="8.875" style="12" bestFit="1" customWidth="1"/>
    <col min="5898" max="5898" width="6" style="12" bestFit="1" customWidth="1"/>
    <col min="5899" max="6137" width="9" style="12"/>
    <col min="6138" max="6138" width="6" style="12" bestFit="1" customWidth="1"/>
    <col min="6139" max="6141" width="8" style="12" bestFit="1" customWidth="1"/>
    <col min="6142" max="6142" width="35.5" style="12" bestFit="1" customWidth="1"/>
    <col min="6143" max="6143" width="20.5" style="12" bestFit="1" customWidth="1"/>
    <col min="6144" max="6147" width="8" style="12" bestFit="1" customWidth="1"/>
    <col min="6148" max="6148" width="8.875" style="12" bestFit="1" customWidth="1"/>
    <col min="6149" max="6149" width="9" style="12"/>
    <col min="6150" max="6150" width="10.5" style="12" bestFit="1" customWidth="1"/>
    <col min="6151" max="6151" width="8.875" style="12" bestFit="1" customWidth="1"/>
    <col min="6152" max="6152" width="9.75" style="12" bestFit="1" customWidth="1"/>
    <col min="6153" max="6153" width="8.875" style="12" bestFit="1" customWidth="1"/>
    <col min="6154" max="6154" width="6" style="12" bestFit="1" customWidth="1"/>
    <col min="6155" max="6393" width="9" style="12"/>
    <col min="6394" max="6394" width="6" style="12" bestFit="1" customWidth="1"/>
    <col min="6395" max="6397" width="8" style="12" bestFit="1" customWidth="1"/>
    <col min="6398" max="6398" width="35.5" style="12" bestFit="1" customWidth="1"/>
    <col min="6399" max="6399" width="20.5" style="12" bestFit="1" customWidth="1"/>
    <col min="6400" max="6403" width="8" style="12" bestFit="1" customWidth="1"/>
    <col min="6404" max="6404" width="8.875" style="12" bestFit="1" customWidth="1"/>
    <col min="6405" max="6405" width="9" style="12"/>
    <col min="6406" max="6406" width="10.5" style="12" bestFit="1" customWidth="1"/>
    <col min="6407" max="6407" width="8.875" style="12" bestFit="1" customWidth="1"/>
    <col min="6408" max="6408" width="9.75" style="12" bestFit="1" customWidth="1"/>
    <col min="6409" max="6409" width="8.875" style="12" bestFit="1" customWidth="1"/>
    <col min="6410" max="6410" width="6" style="12" bestFit="1" customWidth="1"/>
    <col min="6411" max="6649" width="9" style="12"/>
    <col min="6650" max="6650" width="6" style="12" bestFit="1" customWidth="1"/>
    <col min="6651" max="6653" width="8" style="12" bestFit="1" customWidth="1"/>
    <col min="6654" max="6654" width="35.5" style="12" bestFit="1" customWidth="1"/>
    <col min="6655" max="6655" width="20.5" style="12" bestFit="1" customWidth="1"/>
    <col min="6656" max="6659" width="8" style="12" bestFit="1" customWidth="1"/>
    <col min="6660" max="6660" width="8.875" style="12" bestFit="1" customWidth="1"/>
    <col min="6661" max="6661" width="9" style="12"/>
    <col min="6662" max="6662" width="10.5" style="12" bestFit="1" customWidth="1"/>
    <col min="6663" max="6663" width="8.875" style="12" bestFit="1" customWidth="1"/>
    <col min="6664" max="6664" width="9.75" style="12" bestFit="1" customWidth="1"/>
    <col min="6665" max="6665" width="8.875" style="12" bestFit="1" customWidth="1"/>
    <col min="6666" max="6666" width="6" style="12" bestFit="1" customWidth="1"/>
    <col min="6667" max="6905" width="9" style="12"/>
    <col min="6906" max="6906" width="6" style="12" bestFit="1" customWidth="1"/>
    <col min="6907" max="6909" width="8" style="12" bestFit="1" customWidth="1"/>
    <col min="6910" max="6910" width="35.5" style="12" bestFit="1" customWidth="1"/>
    <col min="6911" max="6911" width="20.5" style="12" bestFit="1" customWidth="1"/>
    <col min="6912" max="6915" width="8" style="12" bestFit="1" customWidth="1"/>
    <col min="6916" max="6916" width="8.875" style="12" bestFit="1" customWidth="1"/>
    <col min="6917" max="6917" width="9" style="12"/>
    <col min="6918" max="6918" width="10.5" style="12" bestFit="1" customWidth="1"/>
    <col min="6919" max="6919" width="8.875" style="12" bestFit="1" customWidth="1"/>
    <col min="6920" max="6920" width="9.75" style="12" bestFit="1" customWidth="1"/>
    <col min="6921" max="6921" width="8.875" style="12" bestFit="1" customWidth="1"/>
    <col min="6922" max="6922" width="6" style="12" bestFit="1" customWidth="1"/>
    <col min="6923" max="7161" width="9" style="12"/>
    <col min="7162" max="7162" width="6" style="12" bestFit="1" customWidth="1"/>
    <col min="7163" max="7165" width="8" style="12" bestFit="1" customWidth="1"/>
    <col min="7166" max="7166" width="35.5" style="12" bestFit="1" customWidth="1"/>
    <col min="7167" max="7167" width="20.5" style="12" bestFit="1" customWidth="1"/>
    <col min="7168" max="7171" width="8" style="12" bestFit="1" customWidth="1"/>
    <col min="7172" max="7172" width="8.875" style="12" bestFit="1" customWidth="1"/>
    <col min="7173" max="7173" width="9" style="12"/>
    <col min="7174" max="7174" width="10.5" style="12" bestFit="1" customWidth="1"/>
    <col min="7175" max="7175" width="8.875" style="12" bestFit="1" customWidth="1"/>
    <col min="7176" max="7176" width="9.75" style="12" bestFit="1" customWidth="1"/>
    <col min="7177" max="7177" width="8.875" style="12" bestFit="1" customWidth="1"/>
    <col min="7178" max="7178" width="6" style="12" bestFit="1" customWidth="1"/>
    <col min="7179" max="7417" width="9" style="12"/>
    <col min="7418" max="7418" width="6" style="12" bestFit="1" customWidth="1"/>
    <col min="7419" max="7421" width="8" style="12" bestFit="1" customWidth="1"/>
    <col min="7422" max="7422" width="35.5" style="12" bestFit="1" customWidth="1"/>
    <col min="7423" max="7423" width="20.5" style="12" bestFit="1" customWidth="1"/>
    <col min="7424" max="7427" width="8" style="12" bestFit="1" customWidth="1"/>
    <col min="7428" max="7428" width="8.875" style="12" bestFit="1" customWidth="1"/>
    <col min="7429" max="7429" width="9" style="12"/>
    <col min="7430" max="7430" width="10.5" style="12" bestFit="1" customWidth="1"/>
    <col min="7431" max="7431" width="8.875" style="12" bestFit="1" customWidth="1"/>
    <col min="7432" max="7432" width="9.75" style="12" bestFit="1" customWidth="1"/>
    <col min="7433" max="7433" width="8.875" style="12" bestFit="1" customWidth="1"/>
    <col min="7434" max="7434" width="6" style="12" bestFit="1" customWidth="1"/>
    <col min="7435" max="7673" width="9" style="12"/>
    <col min="7674" max="7674" width="6" style="12" bestFit="1" customWidth="1"/>
    <col min="7675" max="7677" width="8" style="12" bestFit="1" customWidth="1"/>
    <col min="7678" max="7678" width="35.5" style="12" bestFit="1" customWidth="1"/>
    <col min="7679" max="7679" width="20.5" style="12" bestFit="1" customWidth="1"/>
    <col min="7680" max="7683" width="8" style="12" bestFit="1" customWidth="1"/>
    <col min="7684" max="7684" width="8.875" style="12" bestFit="1" customWidth="1"/>
    <col min="7685" max="7685" width="9" style="12"/>
    <col min="7686" max="7686" width="10.5" style="12" bestFit="1" customWidth="1"/>
    <col min="7687" max="7687" width="8.875" style="12" bestFit="1" customWidth="1"/>
    <col min="7688" max="7688" width="9.75" style="12" bestFit="1" customWidth="1"/>
    <col min="7689" max="7689" width="8.875" style="12" bestFit="1" customWidth="1"/>
    <col min="7690" max="7690" width="6" style="12" bestFit="1" customWidth="1"/>
    <col min="7691" max="7929" width="9" style="12"/>
    <col min="7930" max="7930" width="6" style="12" bestFit="1" customWidth="1"/>
    <col min="7931" max="7933" width="8" style="12" bestFit="1" customWidth="1"/>
    <col min="7934" max="7934" width="35.5" style="12" bestFit="1" customWidth="1"/>
    <col min="7935" max="7935" width="20.5" style="12" bestFit="1" customWidth="1"/>
    <col min="7936" max="7939" width="8" style="12" bestFit="1" customWidth="1"/>
    <col min="7940" max="7940" width="8.875" style="12" bestFit="1" customWidth="1"/>
    <col min="7941" max="7941" width="9" style="12"/>
    <col min="7942" max="7942" width="10.5" style="12" bestFit="1" customWidth="1"/>
    <col min="7943" max="7943" width="8.875" style="12" bestFit="1" customWidth="1"/>
    <col min="7944" max="7944" width="9.75" style="12" bestFit="1" customWidth="1"/>
    <col min="7945" max="7945" width="8.875" style="12" bestFit="1" customWidth="1"/>
    <col min="7946" max="7946" width="6" style="12" bestFit="1" customWidth="1"/>
    <col min="7947" max="8185" width="9" style="12"/>
    <col min="8186" max="8186" width="6" style="12" bestFit="1" customWidth="1"/>
    <col min="8187" max="8189" width="8" style="12" bestFit="1" customWidth="1"/>
    <col min="8190" max="8190" width="35.5" style="12" bestFit="1" customWidth="1"/>
    <col min="8191" max="8191" width="20.5" style="12" bestFit="1" customWidth="1"/>
    <col min="8192" max="8195" width="8" style="12" bestFit="1" customWidth="1"/>
    <col min="8196" max="8196" width="8.875" style="12" bestFit="1" customWidth="1"/>
    <col min="8197" max="8197" width="9" style="12"/>
    <col min="8198" max="8198" width="10.5" style="12" bestFit="1" customWidth="1"/>
    <col min="8199" max="8199" width="8.875" style="12" bestFit="1" customWidth="1"/>
    <col min="8200" max="8200" width="9.75" style="12" bestFit="1" customWidth="1"/>
    <col min="8201" max="8201" width="8.875" style="12" bestFit="1" customWidth="1"/>
    <col min="8202" max="8202" width="6" style="12" bestFit="1" customWidth="1"/>
    <col min="8203" max="8441" width="9" style="12"/>
    <col min="8442" max="8442" width="6" style="12" bestFit="1" customWidth="1"/>
    <col min="8443" max="8445" width="8" style="12" bestFit="1" customWidth="1"/>
    <col min="8446" max="8446" width="35.5" style="12" bestFit="1" customWidth="1"/>
    <col min="8447" max="8447" width="20.5" style="12" bestFit="1" customWidth="1"/>
    <col min="8448" max="8451" width="8" style="12" bestFit="1" customWidth="1"/>
    <col min="8452" max="8452" width="8.875" style="12" bestFit="1" customWidth="1"/>
    <col min="8453" max="8453" width="9" style="12"/>
    <col min="8454" max="8454" width="10.5" style="12" bestFit="1" customWidth="1"/>
    <col min="8455" max="8455" width="8.875" style="12" bestFit="1" customWidth="1"/>
    <col min="8456" max="8456" width="9.75" style="12" bestFit="1" customWidth="1"/>
    <col min="8457" max="8457" width="8.875" style="12" bestFit="1" customWidth="1"/>
    <col min="8458" max="8458" width="6" style="12" bestFit="1" customWidth="1"/>
    <col min="8459" max="8697" width="9" style="12"/>
    <col min="8698" max="8698" width="6" style="12" bestFit="1" customWidth="1"/>
    <col min="8699" max="8701" width="8" style="12" bestFit="1" customWidth="1"/>
    <col min="8702" max="8702" width="35.5" style="12" bestFit="1" customWidth="1"/>
    <col min="8703" max="8703" width="20.5" style="12" bestFit="1" customWidth="1"/>
    <col min="8704" max="8707" width="8" style="12" bestFit="1" customWidth="1"/>
    <col min="8708" max="8708" width="8.875" style="12" bestFit="1" customWidth="1"/>
    <col min="8709" max="8709" width="9" style="12"/>
    <col min="8710" max="8710" width="10.5" style="12" bestFit="1" customWidth="1"/>
    <col min="8711" max="8711" width="8.875" style="12" bestFit="1" customWidth="1"/>
    <col min="8712" max="8712" width="9.75" style="12" bestFit="1" customWidth="1"/>
    <col min="8713" max="8713" width="8.875" style="12" bestFit="1" customWidth="1"/>
    <col min="8714" max="8714" width="6" style="12" bestFit="1" customWidth="1"/>
    <col min="8715" max="8953" width="9" style="12"/>
    <col min="8954" max="8954" width="6" style="12" bestFit="1" customWidth="1"/>
    <col min="8955" max="8957" width="8" style="12" bestFit="1" customWidth="1"/>
    <col min="8958" max="8958" width="35.5" style="12" bestFit="1" customWidth="1"/>
    <col min="8959" max="8959" width="20.5" style="12" bestFit="1" customWidth="1"/>
    <col min="8960" max="8963" width="8" style="12" bestFit="1" customWidth="1"/>
    <col min="8964" max="8964" width="8.875" style="12" bestFit="1" customWidth="1"/>
    <col min="8965" max="8965" width="9" style="12"/>
    <col min="8966" max="8966" width="10.5" style="12" bestFit="1" customWidth="1"/>
    <col min="8967" max="8967" width="8.875" style="12" bestFit="1" customWidth="1"/>
    <col min="8968" max="8968" width="9.75" style="12" bestFit="1" customWidth="1"/>
    <col min="8969" max="8969" width="8.875" style="12" bestFit="1" customWidth="1"/>
    <col min="8970" max="8970" width="6" style="12" bestFit="1" customWidth="1"/>
    <col min="8971" max="9209" width="9" style="12"/>
    <col min="9210" max="9210" width="6" style="12" bestFit="1" customWidth="1"/>
    <col min="9211" max="9213" width="8" style="12" bestFit="1" customWidth="1"/>
    <col min="9214" max="9214" width="35.5" style="12" bestFit="1" customWidth="1"/>
    <col min="9215" max="9215" width="20.5" style="12" bestFit="1" customWidth="1"/>
    <col min="9216" max="9219" width="8" style="12" bestFit="1" customWidth="1"/>
    <col min="9220" max="9220" width="8.875" style="12" bestFit="1" customWidth="1"/>
    <col min="9221" max="9221" width="9" style="12"/>
    <col min="9222" max="9222" width="10.5" style="12" bestFit="1" customWidth="1"/>
    <col min="9223" max="9223" width="8.875" style="12" bestFit="1" customWidth="1"/>
    <col min="9224" max="9224" width="9.75" style="12" bestFit="1" customWidth="1"/>
    <col min="9225" max="9225" width="8.875" style="12" bestFit="1" customWidth="1"/>
    <col min="9226" max="9226" width="6" style="12" bestFit="1" customWidth="1"/>
    <col min="9227" max="9465" width="9" style="12"/>
    <col min="9466" max="9466" width="6" style="12" bestFit="1" customWidth="1"/>
    <col min="9467" max="9469" width="8" style="12" bestFit="1" customWidth="1"/>
    <col min="9470" max="9470" width="35.5" style="12" bestFit="1" customWidth="1"/>
    <col min="9471" max="9471" width="20.5" style="12" bestFit="1" customWidth="1"/>
    <col min="9472" max="9475" width="8" style="12" bestFit="1" customWidth="1"/>
    <col min="9476" max="9476" width="8.875" style="12" bestFit="1" customWidth="1"/>
    <col min="9477" max="9477" width="9" style="12"/>
    <col min="9478" max="9478" width="10.5" style="12" bestFit="1" customWidth="1"/>
    <col min="9479" max="9479" width="8.875" style="12" bestFit="1" customWidth="1"/>
    <col min="9480" max="9480" width="9.75" style="12" bestFit="1" customWidth="1"/>
    <col min="9481" max="9481" width="8.875" style="12" bestFit="1" customWidth="1"/>
    <col min="9482" max="9482" width="6" style="12" bestFit="1" customWidth="1"/>
    <col min="9483" max="9721" width="9" style="12"/>
    <col min="9722" max="9722" width="6" style="12" bestFit="1" customWidth="1"/>
    <col min="9723" max="9725" width="8" style="12" bestFit="1" customWidth="1"/>
    <col min="9726" max="9726" width="35.5" style="12" bestFit="1" customWidth="1"/>
    <col min="9727" max="9727" width="20.5" style="12" bestFit="1" customWidth="1"/>
    <col min="9728" max="9731" width="8" style="12" bestFit="1" customWidth="1"/>
    <col min="9732" max="9732" width="8.875" style="12" bestFit="1" customWidth="1"/>
    <col min="9733" max="9733" width="9" style="12"/>
    <col min="9734" max="9734" width="10.5" style="12" bestFit="1" customWidth="1"/>
    <col min="9735" max="9735" width="8.875" style="12" bestFit="1" customWidth="1"/>
    <col min="9736" max="9736" width="9.75" style="12" bestFit="1" customWidth="1"/>
    <col min="9737" max="9737" width="8.875" style="12" bestFit="1" customWidth="1"/>
    <col min="9738" max="9738" width="6" style="12" bestFit="1" customWidth="1"/>
    <col min="9739" max="9977" width="9" style="12"/>
    <col min="9978" max="9978" width="6" style="12" bestFit="1" customWidth="1"/>
    <col min="9979" max="9981" width="8" style="12" bestFit="1" customWidth="1"/>
    <col min="9982" max="9982" width="35.5" style="12" bestFit="1" customWidth="1"/>
    <col min="9983" max="9983" width="20.5" style="12" bestFit="1" customWidth="1"/>
    <col min="9984" max="9987" width="8" style="12" bestFit="1" customWidth="1"/>
    <col min="9988" max="9988" width="8.875" style="12" bestFit="1" customWidth="1"/>
    <col min="9989" max="9989" width="9" style="12"/>
    <col min="9990" max="9990" width="10.5" style="12" bestFit="1" customWidth="1"/>
    <col min="9991" max="9991" width="8.875" style="12" bestFit="1" customWidth="1"/>
    <col min="9992" max="9992" width="9.75" style="12" bestFit="1" customWidth="1"/>
    <col min="9993" max="9993" width="8.875" style="12" bestFit="1" customWidth="1"/>
    <col min="9994" max="9994" width="6" style="12" bestFit="1" customWidth="1"/>
    <col min="9995" max="10233" width="9" style="12"/>
    <col min="10234" max="10234" width="6" style="12" bestFit="1" customWidth="1"/>
    <col min="10235" max="10237" width="8" style="12" bestFit="1" customWidth="1"/>
    <col min="10238" max="10238" width="35.5" style="12" bestFit="1" customWidth="1"/>
    <col min="10239" max="10239" width="20.5" style="12" bestFit="1" customWidth="1"/>
    <col min="10240" max="10243" width="8" style="12" bestFit="1" customWidth="1"/>
    <col min="10244" max="10244" width="8.875" style="12" bestFit="1" customWidth="1"/>
    <col min="10245" max="10245" width="9" style="12"/>
    <col min="10246" max="10246" width="10.5" style="12" bestFit="1" customWidth="1"/>
    <col min="10247" max="10247" width="8.875" style="12" bestFit="1" customWidth="1"/>
    <col min="10248" max="10248" width="9.75" style="12" bestFit="1" customWidth="1"/>
    <col min="10249" max="10249" width="8.875" style="12" bestFit="1" customWidth="1"/>
    <col min="10250" max="10250" width="6" style="12" bestFit="1" customWidth="1"/>
    <col min="10251" max="10489" width="9" style="12"/>
    <col min="10490" max="10490" width="6" style="12" bestFit="1" customWidth="1"/>
    <col min="10491" max="10493" width="8" style="12" bestFit="1" customWidth="1"/>
    <col min="10494" max="10494" width="35.5" style="12" bestFit="1" customWidth="1"/>
    <col min="10495" max="10495" width="20.5" style="12" bestFit="1" customWidth="1"/>
    <col min="10496" max="10499" width="8" style="12" bestFit="1" customWidth="1"/>
    <col min="10500" max="10500" width="8.875" style="12" bestFit="1" customWidth="1"/>
    <col min="10501" max="10501" width="9" style="12"/>
    <col min="10502" max="10502" width="10.5" style="12" bestFit="1" customWidth="1"/>
    <col min="10503" max="10503" width="8.875" style="12" bestFit="1" customWidth="1"/>
    <col min="10504" max="10504" width="9.75" style="12" bestFit="1" customWidth="1"/>
    <col min="10505" max="10505" width="8.875" style="12" bestFit="1" customWidth="1"/>
    <col min="10506" max="10506" width="6" style="12" bestFit="1" customWidth="1"/>
    <col min="10507" max="10745" width="9" style="12"/>
    <col min="10746" max="10746" width="6" style="12" bestFit="1" customWidth="1"/>
    <col min="10747" max="10749" width="8" style="12" bestFit="1" customWidth="1"/>
    <col min="10750" max="10750" width="35.5" style="12" bestFit="1" customWidth="1"/>
    <col min="10751" max="10751" width="20.5" style="12" bestFit="1" customWidth="1"/>
    <col min="10752" max="10755" width="8" style="12" bestFit="1" customWidth="1"/>
    <col min="10756" max="10756" width="8.875" style="12" bestFit="1" customWidth="1"/>
    <col min="10757" max="10757" width="9" style="12"/>
    <col min="10758" max="10758" width="10.5" style="12" bestFit="1" customWidth="1"/>
    <col min="10759" max="10759" width="8.875" style="12" bestFit="1" customWidth="1"/>
    <col min="10760" max="10760" width="9.75" style="12" bestFit="1" customWidth="1"/>
    <col min="10761" max="10761" width="8.875" style="12" bestFit="1" customWidth="1"/>
    <col min="10762" max="10762" width="6" style="12" bestFit="1" customWidth="1"/>
    <col min="10763" max="11001" width="9" style="12"/>
    <col min="11002" max="11002" width="6" style="12" bestFit="1" customWidth="1"/>
    <col min="11003" max="11005" width="8" style="12" bestFit="1" customWidth="1"/>
    <col min="11006" max="11006" width="35.5" style="12" bestFit="1" customWidth="1"/>
    <col min="11007" max="11007" width="20.5" style="12" bestFit="1" customWidth="1"/>
    <col min="11008" max="11011" width="8" style="12" bestFit="1" customWidth="1"/>
    <col min="11012" max="11012" width="8.875" style="12" bestFit="1" customWidth="1"/>
    <col min="11013" max="11013" width="9" style="12"/>
    <col min="11014" max="11014" width="10.5" style="12" bestFit="1" customWidth="1"/>
    <col min="11015" max="11015" width="8.875" style="12" bestFit="1" customWidth="1"/>
    <col min="11016" max="11016" width="9.75" style="12" bestFit="1" customWidth="1"/>
    <col min="11017" max="11017" width="8.875" style="12" bestFit="1" customWidth="1"/>
    <col min="11018" max="11018" width="6" style="12" bestFit="1" customWidth="1"/>
    <col min="11019" max="11257" width="9" style="12"/>
    <col min="11258" max="11258" width="6" style="12" bestFit="1" customWidth="1"/>
    <col min="11259" max="11261" width="8" style="12" bestFit="1" customWidth="1"/>
    <col min="11262" max="11262" width="35.5" style="12" bestFit="1" customWidth="1"/>
    <col min="11263" max="11263" width="20.5" style="12" bestFit="1" customWidth="1"/>
    <col min="11264" max="11267" width="8" style="12" bestFit="1" customWidth="1"/>
    <col min="11268" max="11268" width="8.875" style="12" bestFit="1" customWidth="1"/>
    <col min="11269" max="11269" width="9" style="12"/>
    <col min="11270" max="11270" width="10.5" style="12" bestFit="1" customWidth="1"/>
    <col min="11271" max="11271" width="8.875" style="12" bestFit="1" customWidth="1"/>
    <col min="11272" max="11272" width="9.75" style="12" bestFit="1" customWidth="1"/>
    <col min="11273" max="11273" width="8.875" style="12" bestFit="1" customWidth="1"/>
    <col min="11274" max="11274" width="6" style="12" bestFit="1" customWidth="1"/>
    <col min="11275" max="11513" width="9" style="12"/>
    <col min="11514" max="11514" width="6" style="12" bestFit="1" customWidth="1"/>
    <col min="11515" max="11517" width="8" style="12" bestFit="1" customWidth="1"/>
    <col min="11518" max="11518" width="35.5" style="12" bestFit="1" customWidth="1"/>
    <col min="11519" max="11519" width="20.5" style="12" bestFit="1" customWidth="1"/>
    <col min="11520" max="11523" width="8" style="12" bestFit="1" customWidth="1"/>
    <col min="11524" max="11524" width="8.875" style="12" bestFit="1" customWidth="1"/>
    <col min="11525" max="11525" width="9" style="12"/>
    <col min="11526" max="11526" width="10.5" style="12" bestFit="1" customWidth="1"/>
    <col min="11527" max="11527" width="8.875" style="12" bestFit="1" customWidth="1"/>
    <col min="11528" max="11528" width="9.75" style="12" bestFit="1" customWidth="1"/>
    <col min="11529" max="11529" width="8.875" style="12" bestFit="1" customWidth="1"/>
    <col min="11530" max="11530" width="6" style="12" bestFit="1" customWidth="1"/>
    <col min="11531" max="11769" width="9" style="12"/>
    <col min="11770" max="11770" width="6" style="12" bestFit="1" customWidth="1"/>
    <col min="11771" max="11773" width="8" style="12" bestFit="1" customWidth="1"/>
    <col min="11774" max="11774" width="35.5" style="12" bestFit="1" customWidth="1"/>
    <col min="11775" max="11775" width="20.5" style="12" bestFit="1" customWidth="1"/>
    <col min="11776" max="11779" width="8" style="12" bestFit="1" customWidth="1"/>
    <col min="11780" max="11780" width="8.875" style="12" bestFit="1" customWidth="1"/>
    <col min="11781" max="11781" width="9" style="12"/>
    <col min="11782" max="11782" width="10.5" style="12" bestFit="1" customWidth="1"/>
    <col min="11783" max="11783" width="8.875" style="12" bestFit="1" customWidth="1"/>
    <col min="11784" max="11784" width="9.75" style="12" bestFit="1" customWidth="1"/>
    <col min="11785" max="11785" width="8.875" style="12" bestFit="1" customWidth="1"/>
    <col min="11786" max="11786" width="6" style="12" bestFit="1" customWidth="1"/>
    <col min="11787" max="12025" width="9" style="12"/>
    <col min="12026" max="12026" width="6" style="12" bestFit="1" customWidth="1"/>
    <col min="12027" max="12029" width="8" style="12" bestFit="1" customWidth="1"/>
    <col min="12030" max="12030" width="35.5" style="12" bestFit="1" customWidth="1"/>
    <col min="12031" max="12031" width="20.5" style="12" bestFit="1" customWidth="1"/>
    <col min="12032" max="12035" width="8" style="12" bestFit="1" customWidth="1"/>
    <col min="12036" max="12036" width="8.875" style="12" bestFit="1" customWidth="1"/>
    <col min="12037" max="12037" width="9" style="12"/>
    <col min="12038" max="12038" width="10.5" style="12" bestFit="1" customWidth="1"/>
    <col min="12039" max="12039" width="8.875" style="12" bestFit="1" customWidth="1"/>
    <col min="12040" max="12040" width="9.75" style="12" bestFit="1" customWidth="1"/>
    <col min="12041" max="12041" width="8.875" style="12" bestFit="1" customWidth="1"/>
    <col min="12042" max="12042" width="6" style="12" bestFit="1" customWidth="1"/>
    <col min="12043" max="12281" width="9" style="12"/>
    <col min="12282" max="12282" width="6" style="12" bestFit="1" customWidth="1"/>
    <col min="12283" max="12285" width="8" style="12" bestFit="1" customWidth="1"/>
    <col min="12286" max="12286" width="35.5" style="12" bestFit="1" customWidth="1"/>
    <col min="12287" max="12287" width="20.5" style="12" bestFit="1" customWidth="1"/>
    <col min="12288" max="12291" width="8" style="12" bestFit="1" customWidth="1"/>
    <col min="12292" max="12292" width="8.875" style="12" bestFit="1" customWidth="1"/>
    <col min="12293" max="12293" width="9" style="12"/>
    <col min="12294" max="12294" width="10.5" style="12" bestFit="1" customWidth="1"/>
    <col min="12295" max="12295" width="8.875" style="12" bestFit="1" customWidth="1"/>
    <col min="12296" max="12296" width="9.75" style="12" bestFit="1" customWidth="1"/>
    <col min="12297" max="12297" width="8.875" style="12" bestFit="1" customWidth="1"/>
    <col min="12298" max="12298" width="6" style="12" bestFit="1" customWidth="1"/>
    <col min="12299" max="12537" width="9" style="12"/>
    <col min="12538" max="12538" width="6" style="12" bestFit="1" customWidth="1"/>
    <col min="12539" max="12541" width="8" style="12" bestFit="1" customWidth="1"/>
    <col min="12542" max="12542" width="35.5" style="12" bestFit="1" customWidth="1"/>
    <col min="12543" max="12543" width="20.5" style="12" bestFit="1" customWidth="1"/>
    <col min="12544" max="12547" width="8" style="12" bestFit="1" customWidth="1"/>
    <col min="12548" max="12548" width="8.875" style="12" bestFit="1" customWidth="1"/>
    <col min="12549" max="12549" width="9" style="12"/>
    <col min="12550" max="12550" width="10.5" style="12" bestFit="1" customWidth="1"/>
    <col min="12551" max="12551" width="8.875" style="12" bestFit="1" customWidth="1"/>
    <col min="12552" max="12552" width="9.75" style="12" bestFit="1" customWidth="1"/>
    <col min="12553" max="12553" width="8.875" style="12" bestFit="1" customWidth="1"/>
    <col min="12554" max="12554" width="6" style="12" bestFit="1" customWidth="1"/>
    <col min="12555" max="12793" width="9" style="12"/>
    <col min="12794" max="12794" width="6" style="12" bestFit="1" customWidth="1"/>
    <col min="12795" max="12797" width="8" style="12" bestFit="1" customWidth="1"/>
    <col min="12798" max="12798" width="35.5" style="12" bestFit="1" customWidth="1"/>
    <col min="12799" max="12799" width="20.5" style="12" bestFit="1" customWidth="1"/>
    <col min="12800" max="12803" width="8" style="12" bestFit="1" customWidth="1"/>
    <col min="12804" max="12804" width="8.875" style="12" bestFit="1" customWidth="1"/>
    <col min="12805" max="12805" width="9" style="12"/>
    <col min="12806" max="12806" width="10.5" style="12" bestFit="1" customWidth="1"/>
    <col min="12807" max="12807" width="8.875" style="12" bestFit="1" customWidth="1"/>
    <col min="12808" max="12808" width="9.75" style="12" bestFit="1" customWidth="1"/>
    <col min="12809" max="12809" width="8.875" style="12" bestFit="1" customWidth="1"/>
    <col min="12810" max="12810" width="6" style="12" bestFit="1" customWidth="1"/>
    <col min="12811" max="13049" width="9" style="12"/>
    <col min="13050" max="13050" width="6" style="12" bestFit="1" customWidth="1"/>
    <col min="13051" max="13053" width="8" style="12" bestFit="1" customWidth="1"/>
    <col min="13054" max="13054" width="35.5" style="12" bestFit="1" customWidth="1"/>
    <col min="13055" max="13055" width="20.5" style="12" bestFit="1" customWidth="1"/>
    <col min="13056" max="13059" width="8" style="12" bestFit="1" customWidth="1"/>
    <col min="13060" max="13060" width="8.875" style="12" bestFit="1" customWidth="1"/>
    <col min="13061" max="13061" width="9" style="12"/>
    <col min="13062" max="13062" width="10.5" style="12" bestFit="1" customWidth="1"/>
    <col min="13063" max="13063" width="8.875" style="12" bestFit="1" customWidth="1"/>
    <col min="13064" max="13064" width="9.75" style="12" bestFit="1" customWidth="1"/>
    <col min="13065" max="13065" width="8.875" style="12" bestFit="1" customWidth="1"/>
    <col min="13066" max="13066" width="6" style="12" bestFit="1" customWidth="1"/>
    <col min="13067" max="13305" width="9" style="12"/>
    <col min="13306" max="13306" width="6" style="12" bestFit="1" customWidth="1"/>
    <col min="13307" max="13309" width="8" style="12" bestFit="1" customWidth="1"/>
    <col min="13310" max="13310" width="35.5" style="12" bestFit="1" customWidth="1"/>
    <col min="13311" max="13311" width="20.5" style="12" bestFit="1" customWidth="1"/>
    <col min="13312" max="13315" width="8" style="12" bestFit="1" customWidth="1"/>
    <col min="13316" max="13316" width="8.875" style="12" bestFit="1" customWidth="1"/>
    <col min="13317" max="13317" width="9" style="12"/>
    <col min="13318" max="13318" width="10.5" style="12" bestFit="1" customWidth="1"/>
    <col min="13319" max="13319" width="8.875" style="12" bestFit="1" customWidth="1"/>
    <col min="13320" max="13320" width="9.75" style="12" bestFit="1" customWidth="1"/>
    <col min="13321" max="13321" width="8.875" style="12" bestFit="1" customWidth="1"/>
    <col min="13322" max="13322" width="6" style="12" bestFit="1" customWidth="1"/>
    <col min="13323" max="13561" width="9" style="12"/>
    <col min="13562" max="13562" width="6" style="12" bestFit="1" customWidth="1"/>
    <col min="13563" max="13565" width="8" style="12" bestFit="1" customWidth="1"/>
    <col min="13566" max="13566" width="35.5" style="12" bestFit="1" customWidth="1"/>
    <col min="13567" max="13567" width="20.5" style="12" bestFit="1" customWidth="1"/>
    <col min="13568" max="13571" width="8" style="12" bestFit="1" customWidth="1"/>
    <col min="13572" max="13572" width="8.875" style="12" bestFit="1" customWidth="1"/>
    <col min="13573" max="13573" width="9" style="12"/>
    <col min="13574" max="13574" width="10.5" style="12" bestFit="1" customWidth="1"/>
    <col min="13575" max="13575" width="8.875" style="12" bestFit="1" customWidth="1"/>
    <col min="13576" max="13576" width="9.75" style="12" bestFit="1" customWidth="1"/>
    <col min="13577" max="13577" width="8.875" style="12" bestFit="1" customWidth="1"/>
    <col min="13578" max="13578" width="6" style="12" bestFit="1" customWidth="1"/>
    <col min="13579" max="13817" width="9" style="12"/>
    <col min="13818" max="13818" width="6" style="12" bestFit="1" customWidth="1"/>
    <col min="13819" max="13821" width="8" style="12" bestFit="1" customWidth="1"/>
    <col min="13822" max="13822" width="35.5" style="12" bestFit="1" customWidth="1"/>
    <col min="13823" max="13823" width="20.5" style="12" bestFit="1" customWidth="1"/>
    <col min="13824" max="13827" width="8" style="12" bestFit="1" customWidth="1"/>
    <col min="13828" max="13828" width="8.875" style="12" bestFit="1" customWidth="1"/>
    <col min="13829" max="13829" width="9" style="12"/>
    <col min="13830" max="13830" width="10.5" style="12" bestFit="1" customWidth="1"/>
    <col min="13831" max="13831" width="8.875" style="12" bestFit="1" customWidth="1"/>
    <col min="13832" max="13832" width="9.75" style="12" bestFit="1" customWidth="1"/>
    <col min="13833" max="13833" width="8.875" style="12" bestFit="1" customWidth="1"/>
    <col min="13834" max="13834" width="6" style="12" bestFit="1" customWidth="1"/>
    <col min="13835" max="14073" width="9" style="12"/>
    <col min="14074" max="14074" width="6" style="12" bestFit="1" customWidth="1"/>
    <col min="14075" max="14077" width="8" style="12" bestFit="1" customWidth="1"/>
    <col min="14078" max="14078" width="35.5" style="12" bestFit="1" customWidth="1"/>
    <col min="14079" max="14079" width="20.5" style="12" bestFit="1" customWidth="1"/>
    <col min="14080" max="14083" width="8" style="12" bestFit="1" customWidth="1"/>
    <col min="14084" max="14084" width="8.875" style="12" bestFit="1" customWidth="1"/>
    <col min="14085" max="14085" width="9" style="12"/>
    <col min="14086" max="14086" width="10.5" style="12" bestFit="1" customWidth="1"/>
    <col min="14087" max="14087" width="8.875" style="12" bestFit="1" customWidth="1"/>
    <col min="14088" max="14088" width="9.75" style="12" bestFit="1" customWidth="1"/>
    <col min="14089" max="14089" width="8.875" style="12" bestFit="1" customWidth="1"/>
    <col min="14090" max="14090" width="6" style="12" bestFit="1" customWidth="1"/>
    <col min="14091" max="14329" width="9" style="12"/>
    <col min="14330" max="14330" width="6" style="12" bestFit="1" customWidth="1"/>
    <col min="14331" max="14333" width="8" style="12" bestFit="1" customWidth="1"/>
    <col min="14334" max="14334" width="35.5" style="12" bestFit="1" customWidth="1"/>
    <col min="14335" max="14335" width="20.5" style="12" bestFit="1" customWidth="1"/>
    <col min="14336" max="14339" width="8" style="12" bestFit="1" customWidth="1"/>
    <col min="14340" max="14340" width="8.875" style="12" bestFit="1" customWidth="1"/>
    <col min="14341" max="14341" width="9" style="12"/>
    <col min="14342" max="14342" width="10.5" style="12" bestFit="1" customWidth="1"/>
    <col min="14343" max="14343" width="8.875" style="12" bestFit="1" customWidth="1"/>
    <col min="14344" max="14344" width="9.75" style="12" bestFit="1" customWidth="1"/>
    <col min="14345" max="14345" width="8.875" style="12" bestFit="1" customWidth="1"/>
    <col min="14346" max="14346" width="6" style="12" bestFit="1" customWidth="1"/>
    <col min="14347" max="14585" width="9" style="12"/>
    <col min="14586" max="14586" width="6" style="12" bestFit="1" customWidth="1"/>
    <col min="14587" max="14589" width="8" style="12" bestFit="1" customWidth="1"/>
    <col min="14590" max="14590" width="35.5" style="12" bestFit="1" customWidth="1"/>
    <col min="14591" max="14591" width="20.5" style="12" bestFit="1" customWidth="1"/>
    <col min="14592" max="14595" width="8" style="12" bestFit="1" customWidth="1"/>
    <col min="14596" max="14596" width="8.875" style="12" bestFit="1" customWidth="1"/>
    <col min="14597" max="14597" width="9" style="12"/>
    <col min="14598" max="14598" width="10.5" style="12" bestFit="1" customWidth="1"/>
    <col min="14599" max="14599" width="8.875" style="12" bestFit="1" customWidth="1"/>
    <col min="14600" max="14600" width="9.75" style="12" bestFit="1" customWidth="1"/>
    <col min="14601" max="14601" width="8.875" style="12" bestFit="1" customWidth="1"/>
    <col min="14602" max="14602" width="6" style="12" bestFit="1" customWidth="1"/>
    <col min="14603" max="14841" width="9" style="12"/>
    <col min="14842" max="14842" width="6" style="12" bestFit="1" customWidth="1"/>
    <col min="14843" max="14845" width="8" style="12" bestFit="1" customWidth="1"/>
    <col min="14846" max="14846" width="35.5" style="12" bestFit="1" customWidth="1"/>
    <col min="14847" max="14847" width="20.5" style="12" bestFit="1" customWidth="1"/>
    <col min="14848" max="14851" width="8" style="12" bestFit="1" customWidth="1"/>
    <col min="14852" max="14852" width="8.875" style="12" bestFit="1" customWidth="1"/>
    <col min="14853" max="14853" width="9" style="12"/>
    <col min="14854" max="14854" width="10.5" style="12" bestFit="1" customWidth="1"/>
    <col min="14855" max="14855" width="8.875" style="12" bestFit="1" customWidth="1"/>
    <col min="14856" max="14856" width="9.75" style="12" bestFit="1" customWidth="1"/>
    <col min="14857" max="14857" width="8.875" style="12" bestFit="1" customWidth="1"/>
    <col min="14858" max="14858" width="6" style="12" bestFit="1" customWidth="1"/>
    <col min="14859" max="15097" width="9" style="12"/>
    <col min="15098" max="15098" width="6" style="12" bestFit="1" customWidth="1"/>
    <col min="15099" max="15101" width="8" style="12" bestFit="1" customWidth="1"/>
    <col min="15102" max="15102" width="35.5" style="12" bestFit="1" customWidth="1"/>
    <col min="15103" max="15103" width="20.5" style="12" bestFit="1" customWidth="1"/>
    <col min="15104" max="15107" width="8" style="12" bestFit="1" customWidth="1"/>
    <col min="15108" max="15108" width="8.875" style="12" bestFit="1" customWidth="1"/>
    <col min="15109" max="15109" width="9" style="12"/>
    <col min="15110" max="15110" width="10.5" style="12" bestFit="1" customWidth="1"/>
    <col min="15111" max="15111" width="8.875" style="12" bestFit="1" customWidth="1"/>
    <col min="15112" max="15112" width="9.75" style="12" bestFit="1" customWidth="1"/>
    <col min="15113" max="15113" width="8.875" style="12" bestFit="1" customWidth="1"/>
    <col min="15114" max="15114" width="6" style="12" bestFit="1" customWidth="1"/>
    <col min="15115" max="15353" width="9" style="12"/>
    <col min="15354" max="15354" width="6" style="12" bestFit="1" customWidth="1"/>
    <col min="15355" max="15357" width="8" style="12" bestFit="1" customWidth="1"/>
    <col min="15358" max="15358" width="35.5" style="12" bestFit="1" customWidth="1"/>
    <col min="15359" max="15359" width="20.5" style="12" bestFit="1" customWidth="1"/>
    <col min="15360" max="15363" width="8" style="12" bestFit="1" customWidth="1"/>
    <col min="15364" max="15364" width="8.875" style="12" bestFit="1" customWidth="1"/>
    <col min="15365" max="15365" width="9" style="12"/>
    <col min="15366" max="15366" width="10.5" style="12" bestFit="1" customWidth="1"/>
    <col min="15367" max="15367" width="8.875" style="12" bestFit="1" customWidth="1"/>
    <col min="15368" max="15368" width="9.75" style="12" bestFit="1" customWidth="1"/>
    <col min="15369" max="15369" width="8.875" style="12" bestFit="1" customWidth="1"/>
    <col min="15370" max="15370" width="6" style="12" bestFit="1" customWidth="1"/>
    <col min="15371" max="15609" width="9" style="12"/>
    <col min="15610" max="15610" width="6" style="12" bestFit="1" customWidth="1"/>
    <col min="15611" max="15613" width="8" style="12" bestFit="1" customWidth="1"/>
    <col min="15614" max="15614" width="35.5" style="12" bestFit="1" customWidth="1"/>
    <col min="15615" max="15615" width="20.5" style="12" bestFit="1" customWidth="1"/>
    <col min="15616" max="15619" width="8" style="12" bestFit="1" customWidth="1"/>
    <col min="15620" max="15620" width="8.875" style="12" bestFit="1" customWidth="1"/>
    <col min="15621" max="15621" width="9" style="12"/>
    <col min="15622" max="15622" width="10.5" style="12" bestFit="1" customWidth="1"/>
    <col min="15623" max="15623" width="8.875" style="12" bestFit="1" customWidth="1"/>
    <col min="15624" max="15624" width="9.75" style="12" bestFit="1" customWidth="1"/>
    <col min="15625" max="15625" width="8.875" style="12" bestFit="1" customWidth="1"/>
    <col min="15626" max="15626" width="6" style="12" bestFit="1" customWidth="1"/>
    <col min="15627" max="15865" width="9" style="12"/>
    <col min="15866" max="15866" width="6" style="12" bestFit="1" customWidth="1"/>
    <col min="15867" max="15869" width="8" style="12" bestFit="1" customWidth="1"/>
    <col min="15870" max="15870" width="35.5" style="12" bestFit="1" customWidth="1"/>
    <col min="15871" max="15871" width="20.5" style="12" bestFit="1" customWidth="1"/>
    <col min="15872" max="15875" width="8" style="12" bestFit="1" customWidth="1"/>
    <col min="15876" max="15876" width="8.875" style="12" bestFit="1" customWidth="1"/>
    <col min="15877" max="15877" width="9" style="12"/>
    <col min="15878" max="15878" width="10.5" style="12" bestFit="1" customWidth="1"/>
    <col min="15879" max="15879" width="8.875" style="12" bestFit="1" customWidth="1"/>
    <col min="15880" max="15880" width="9.75" style="12" bestFit="1" customWidth="1"/>
    <col min="15881" max="15881" width="8.875" style="12" bestFit="1" customWidth="1"/>
    <col min="15882" max="15882" width="6" style="12" bestFit="1" customWidth="1"/>
    <col min="15883" max="16121" width="9" style="12"/>
    <col min="16122" max="16122" width="6" style="12" bestFit="1" customWidth="1"/>
    <col min="16123" max="16125" width="8" style="12" bestFit="1" customWidth="1"/>
    <col min="16126" max="16126" width="35.5" style="12" bestFit="1" customWidth="1"/>
    <col min="16127" max="16127" width="20.5" style="12" bestFit="1" customWidth="1"/>
    <col min="16128" max="16131" width="8" style="12" bestFit="1" customWidth="1"/>
    <col min="16132" max="16132" width="8.875" style="12" bestFit="1" customWidth="1"/>
    <col min="16133" max="16133" width="9" style="12"/>
    <col min="16134" max="16134" width="10.5" style="12" bestFit="1" customWidth="1"/>
    <col min="16135" max="16135" width="8.875" style="12" bestFit="1" customWidth="1"/>
    <col min="16136" max="16136" width="9.75" style="12" bestFit="1" customWidth="1"/>
    <col min="16137" max="16137" width="8.875" style="12" bestFit="1" customWidth="1"/>
    <col min="16138" max="16138" width="6" style="12" bestFit="1" customWidth="1"/>
    <col min="16139" max="16384" width="9" style="12"/>
  </cols>
  <sheetData>
    <row r="1" spans="1:117" ht="27.75" customHeight="1">
      <c r="A1" s="1" t="s">
        <v>249</v>
      </c>
      <c r="B1" s="1" t="s">
        <v>250</v>
      </c>
      <c r="C1" s="1265" t="s">
        <v>251</v>
      </c>
      <c r="D1" s="1266"/>
      <c r="E1" s="2" t="s">
        <v>252</v>
      </c>
      <c r="F1" s="2" t="s">
        <v>253</v>
      </c>
      <c r="G1" s="3" t="s">
        <v>254</v>
      </c>
      <c r="H1" s="4"/>
      <c r="I1" s="5"/>
      <c r="J1" s="2" t="s">
        <v>255</v>
      </c>
      <c r="K1" s="6" t="s">
        <v>256</v>
      </c>
      <c r="L1" s="7"/>
      <c r="M1" s="7"/>
      <c r="N1" s="7"/>
      <c r="O1" s="7"/>
      <c r="P1" s="1267" t="s">
        <v>485</v>
      </c>
      <c r="Q1" s="1268"/>
      <c r="R1" s="8"/>
      <c r="S1" s="1" t="s">
        <v>249</v>
      </c>
      <c r="T1" s="9"/>
      <c r="U1" s="9"/>
    </row>
    <row r="2" spans="1:117" ht="29.25" customHeight="1">
      <c r="A2" s="1"/>
      <c r="B2" s="1"/>
      <c r="C2" s="1">
        <v>1</v>
      </c>
      <c r="D2" s="13">
        <v>2</v>
      </c>
      <c r="E2" s="13"/>
      <c r="F2" s="13"/>
      <c r="G2" s="14" t="s">
        <v>257</v>
      </c>
      <c r="H2" s="14" t="s">
        <v>258</v>
      </c>
      <c r="I2" s="14" t="s">
        <v>259</v>
      </c>
      <c r="J2" s="13"/>
      <c r="K2" s="14" t="s">
        <v>257</v>
      </c>
      <c r="L2" s="14" t="s">
        <v>258</v>
      </c>
      <c r="M2" s="14" t="s">
        <v>260</v>
      </c>
      <c r="N2" s="14" t="s">
        <v>261</v>
      </c>
      <c r="O2" s="14" t="s">
        <v>262</v>
      </c>
      <c r="P2" s="70" t="s">
        <v>22</v>
      </c>
      <c r="Q2" s="70" t="s">
        <v>486</v>
      </c>
      <c r="R2" s="15" t="s">
        <v>22</v>
      </c>
      <c r="S2" s="1"/>
      <c r="T2" s="9"/>
      <c r="U2" s="9"/>
      <c r="Y2" s="10">
        <v>1</v>
      </c>
      <c r="Z2" s="10">
        <v>2</v>
      </c>
      <c r="AA2" s="10">
        <v>3</v>
      </c>
      <c r="AB2" s="10">
        <v>4</v>
      </c>
      <c r="AC2" s="10">
        <v>5</v>
      </c>
      <c r="AD2" s="10">
        <v>6</v>
      </c>
      <c r="AE2" s="10">
        <v>7</v>
      </c>
      <c r="AF2" s="10">
        <v>8</v>
      </c>
      <c r="AG2" s="10">
        <v>9</v>
      </c>
      <c r="AH2" s="10">
        <v>10</v>
      </c>
      <c r="AI2" s="10">
        <v>11</v>
      </c>
      <c r="AJ2" s="10">
        <v>12</v>
      </c>
      <c r="AK2" s="10">
        <v>13</v>
      </c>
      <c r="AL2" s="10">
        <v>14</v>
      </c>
      <c r="AM2" s="10">
        <v>15</v>
      </c>
      <c r="AN2" s="10">
        <v>16</v>
      </c>
      <c r="AO2" s="10">
        <v>17</v>
      </c>
      <c r="AP2" s="10">
        <v>18</v>
      </c>
      <c r="AQ2" s="10">
        <v>19</v>
      </c>
      <c r="AR2" s="10">
        <v>20</v>
      </c>
      <c r="AS2" s="10">
        <v>21</v>
      </c>
      <c r="AT2" s="10">
        <v>22</v>
      </c>
      <c r="AU2" s="10">
        <v>23</v>
      </c>
      <c r="AV2" s="10">
        <v>24</v>
      </c>
      <c r="AW2" s="10">
        <v>25</v>
      </c>
      <c r="AX2" s="10">
        <v>26</v>
      </c>
      <c r="AY2" s="10">
        <v>27</v>
      </c>
      <c r="AZ2" s="10">
        <v>28</v>
      </c>
      <c r="BA2" s="10">
        <v>29</v>
      </c>
      <c r="BB2" s="10">
        <v>30</v>
      </c>
      <c r="BC2" s="10">
        <v>31</v>
      </c>
      <c r="BD2" s="10">
        <v>32</v>
      </c>
      <c r="BE2" s="10">
        <v>33</v>
      </c>
      <c r="BF2" s="10">
        <v>34</v>
      </c>
      <c r="BG2" s="10">
        <v>35</v>
      </c>
      <c r="BH2" s="10">
        <v>36</v>
      </c>
      <c r="BI2" s="10">
        <v>37</v>
      </c>
      <c r="BJ2" s="10">
        <v>38</v>
      </c>
      <c r="BK2" s="10">
        <v>39</v>
      </c>
      <c r="BL2" s="10">
        <v>40</v>
      </c>
      <c r="BM2" s="10">
        <v>41</v>
      </c>
      <c r="BN2" s="10">
        <v>42</v>
      </c>
      <c r="BO2" s="10">
        <v>43</v>
      </c>
      <c r="BP2" s="10">
        <v>44</v>
      </c>
      <c r="BQ2" s="10">
        <v>45</v>
      </c>
      <c r="BR2" s="10">
        <v>46</v>
      </c>
      <c r="BS2" s="10">
        <v>47</v>
      </c>
      <c r="BT2" s="10">
        <v>48</v>
      </c>
      <c r="BU2" s="10">
        <v>49</v>
      </c>
      <c r="BV2" s="10">
        <v>50</v>
      </c>
      <c r="BW2" s="10">
        <v>51</v>
      </c>
      <c r="BX2" s="10">
        <v>52</v>
      </c>
      <c r="BY2" s="10">
        <v>53</v>
      </c>
      <c r="BZ2" s="10">
        <v>54</v>
      </c>
      <c r="CA2" s="10">
        <v>55</v>
      </c>
      <c r="CB2" s="10">
        <v>56</v>
      </c>
      <c r="CC2" s="10">
        <v>57</v>
      </c>
      <c r="CD2" s="10">
        <v>58</v>
      </c>
      <c r="CE2" s="10">
        <v>59</v>
      </c>
      <c r="CF2" s="10">
        <v>60</v>
      </c>
      <c r="CG2" s="10">
        <v>61</v>
      </c>
      <c r="CH2" s="10">
        <v>62</v>
      </c>
      <c r="CI2" s="10">
        <v>63</v>
      </c>
      <c r="CJ2" s="10">
        <v>64</v>
      </c>
      <c r="CK2" s="10">
        <v>65</v>
      </c>
      <c r="CL2" s="10">
        <v>66</v>
      </c>
      <c r="CM2" s="10">
        <v>67</v>
      </c>
      <c r="CN2" s="10">
        <v>68</v>
      </c>
      <c r="CO2" s="10">
        <v>69</v>
      </c>
      <c r="CP2" s="10">
        <v>70</v>
      </c>
      <c r="CQ2" s="10">
        <v>71</v>
      </c>
      <c r="CR2" s="10">
        <v>72</v>
      </c>
      <c r="CS2" s="10">
        <v>73</v>
      </c>
      <c r="CT2" s="10">
        <v>74</v>
      </c>
      <c r="CU2" s="10">
        <v>75</v>
      </c>
      <c r="CV2" s="10">
        <v>76</v>
      </c>
      <c r="CW2" s="10">
        <v>77</v>
      </c>
      <c r="CX2" s="10">
        <v>78</v>
      </c>
      <c r="CY2" s="10">
        <v>79</v>
      </c>
      <c r="CZ2" s="10">
        <v>80</v>
      </c>
      <c r="DA2" s="10">
        <v>81</v>
      </c>
      <c r="DB2" s="10">
        <v>82</v>
      </c>
      <c r="DC2" s="10">
        <v>83</v>
      </c>
      <c r="DD2" s="10">
        <v>84</v>
      </c>
      <c r="DE2" s="10">
        <v>85</v>
      </c>
      <c r="DF2" s="10">
        <v>86</v>
      </c>
      <c r="DG2" s="10">
        <v>87</v>
      </c>
      <c r="DH2" s="10">
        <v>88</v>
      </c>
      <c r="DI2" s="10">
        <v>89</v>
      </c>
      <c r="DJ2" s="10">
        <v>90</v>
      </c>
      <c r="DK2" s="10"/>
      <c r="DL2" s="10"/>
      <c r="DM2" s="10"/>
    </row>
    <row r="3" spans="1:117" ht="27.75" customHeight="1">
      <c r="A3" s="16" t="s">
        <v>661</v>
      </c>
      <c r="B3" s="17" t="s">
        <v>678</v>
      </c>
      <c r="C3" s="17" t="s">
        <v>662</v>
      </c>
      <c r="D3" s="17" t="s">
        <v>263</v>
      </c>
      <c r="E3" s="17" t="s">
        <v>264</v>
      </c>
      <c r="F3" s="17" t="s">
        <v>265</v>
      </c>
      <c r="G3" s="17" t="s">
        <v>266</v>
      </c>
      <c r="H3" s="17" t="s">
        <v>267</v>
      </c>
      <c r="I3" s="17" t="s">
        <v>268</v>
      </c>
      <c r="J3" s="17" t="s">
        <v>269</v>
      </c>
      <c r="K3" s="17" t="s">
        <v>270</v>
      </c>
      <c r="L3" s="17" t="s">
        <v>271</v>
      </c>
      <c r="M3" s="17" t="s">
        <v>272</v>
      </c>
      <c r="N3" s="17" t="s">
        <v>273</v>
      </c>
      <c r="O3" s="17" t="s">
        <v>274</v>
      </c>
      <c r="P3" s="17" t="s">
        <v>275</v>
      </c>
      <c r="Q3" s="17" t="s">
        <v>484</v>
      </c>
      <c r="R3" s="17" t="s">
        <v>276</v>
      </c>
      <c r="S3" s="18"/>
      <c r="T3" s="18"/>
      <c r="U3" s="18"/>
      <c r="W3" s="10" t="s">
        <v>2</v>
      </c>
      <c r="Y3" s="19" t="str">
        <f t="shared" ref="Y3:AI3" si="0">VLOOKUP(Y2,$U$4:$V$678,2,FALSE)</f>
        <v>中央区01保育所</v>
      </c>
      <c r="Z3" s="20" t="str">
        <f t="shared" si="0"/>
        <v>北区01保育所</v>
      </c>
      <c r="AA3" s="20" t="str">
        <f t="shared" si="0"/>
        <v>東区01保育所</v>
      </c>
      <c r="AB3" s="20" t="str">
        <f t="shared" si="0"/>
        <v>白石区01保育所</v>
      </c>
      <c r="AC3" s="20" t="str">
        <f t="shared" si="0"/>
        <v>厚別区01保育所</v>
      </c>
      <c r="AD3" s="20" t="str">
        <f t="shared" si="0"/>
        <v>豊平区01保育所</v>
      </c>
      <c r="AE3" s="20" t="str">
        <f t="shared" si="0"/>
        <v>清田区01保育所</v>
      </c>
      <c r="AF3" s="20" t="str">
        <f t="shared" si="0"/>
        <v>南区01保育所</v>
      </c>
      <c r="AG3" s="20" t="str">
        <f t="shared" si="0"/>
        <v>西区01保育所</v>
      </c>
      <c r="AH3" s="20" t="str">
        <f t="shared" si="0"/>
        <v>手稲区01保育所</v>
      </c>
      <c r="AI3" s="20" t="str">
        <f t="shared" si="0"/>
        <v/>
      </c>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1"/>
      <c r="CT3" s="21"/>
      <c r="CU3" s="21"/>
      <c r="CV3" s="21"/>
      <c r="CW3" s="21"/>
      <c r="CX3" s="21"/>
      <c r="CY3" s="21"/>
      <c r="CZ3" s="21"/>
      <c r="DA3" s="21"/>
      <c r="DB3" s="22"/>
      <c r="DC3" s="22"/>
      <c r="DD3" s="22"/>
      <c r="DE3" s="22"/>
      <c r="DF3" s="22"/>
      <c r="DG3" s="22"/>
      <c r="DH3" s="22"/>
      <c r="DI3" s="22"/>
      <c r="DJ3" s="23"/>
    </row>
    <row r="4" spans="1:117">
      <c r="A4" s="1148">
        <v>100000</v>
      </c>
      <c r="B4" s="46" t="s">
        <v>656</v>
      </c>
      <c r="C4" s="46" t="s">
        <v>657</v>
      </c>
      <c r="D4" s="46" t="s">
        <v>658</v>
      </c>
      <c r="E4" s="46" t="s">
        <v>659</v>
      </c>
      <c r="F4" s="46" t="s">
        <v>660</v>
      </c>
      <c r="G4" s="46"/>
      <c r="H4" s="46"/>
      <c r="I4" s="46"/>
      <c r="J4" s="46">
        <v>175</v>
      </c>
      <c r="K4" s="46">
        <v>0</v>
      </c>
      <c r="L4" s="46">
        <v>103</v>
      </c>
      <c r="M4" s="46">
        <v>18</v>
      </c>
      <c r="N4" s="46">
        <v>54</v>
      </c>
      <c r="O4" s="46">
        <f>SUM(テーブル1[[#This Row],[列11]:[列12]])</f>
        <v>72</v>
      </c>
      <c r="P4" s="46"/>
      <c r="Q4" s="46"/>
      <c r="R4" s="46">
        <f>SUM(K4,L4,O4)</f>
        <v>175</v>
      </c>
      <c r="S4" s="25">
        <f>A4</f>
        <v>100000</v>
      </c>
      <c r="T4" s="25">
        <f>COUNTIF($V$4:V4,V4)</f>
        <v>1</v>
      </c>
      <c r="U4" s="25">
        <f>IF(T4=1,COUNTIF($T$4:T4,1),"")</f>
        <v>1</v>
      </c>
      <c r="V4" s="26" t="str">
        <f>'施設状況(要更新)'!$E4&amp;'施設状況(要更新)'!$C4</f>
        <v>中央区01保育所</v>
      </c>
      <c r="W4" s="26" t="str">
        <f>'施設状況(要更新)'!$F4</f>
        <v>札幌市未来局保育園【例】</v>
      </c>
      <c r="X4" s="27"/>
      <c r="Y4" s="28"/>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c r="CM4" s="29"/>
      <c r="CN4" s="29"/>
      <c r="CO4" s="29"/>
      <c r="CP4" s="29"/>
      <c r="CQ4" s="29"/>
      <c r="CR4" s="29"/>
      <c r="CS4" s="30"/>
      <c r="CT4" s="30"/>
      <c r="CU4" s="30"/>
      <c r="CV4" s="30"/>
      <c r="CW4" s="30"/>
      <c r="CX4" s="30"/>
      <c r="CY4" s="30"/>
      <c r="CZ4" s="30"/>
      <c r="DA4" s="30"/>
      <c r="DB4" s="30"/>
      <c r="DC4" s="30"/>
      <c r="DD4" s="30"/>
      <c r="DE4" s="30"/>
      <c r="DF4" s="30"/>
      <c r="DG4" s="30"/>
      <c r="DH4" s="30"/>
      <c r="DI4" s="30"/>
      <c r="DJ4" s="31"/>
    </row>
    <row r="5" spans="1:117">
      <c r="A5" s="45">
        <v>100004</v>
      </c>
      <c r="B5" s="46" t="s">
        <v>277</v>
      </c>
      <c r="C5" s="46" t="s">
        <v>626</v>
      </c>
      <c r="D5" s="46" t="s">
        <v>1027</v>
      </c>
      <c r="E5" s="46" t="s">
        <v>278</v>
      </c>
      <c r="F5" s="46" t="s">
        <v>279</v>
      </c>
      <c r="G5" s="46"/>
      <c r="H5" s="46"/>
      <c r="I5" s="46"/>
      <c r="J5" s="46">
        <v>90</v>
      </c>
      <c r="K5" s="46">
        <v>0</v>
      </c>
      <c r="L5" s="46">
        <v>48</v>
      </c>
      <c r="M5" s="46">
        <v>12</v>
      </c>
      <c r="N5" s="46">
        <v>30</v>
      </c>
      <c r="O5" s="46">
        <f>SUM(テーブル1[[#This Row],[列11]:[列12]])</f>
        <v>42</v>
      </c>
      <c r="P5" s="46"/>
      <c r="Q5" s="46"/>
      <c r="R5" s="46">
        <f t="shared" ref="R5:R68" si="1">SUM(K5,L5,O5)</f>
        <v>90</v>
      </c>
      <c r="S5" s="25">
        <f t="shared" ref="S5:S68" si="2">A5</f>
        <v>100004</v>
      </c>
      <c r="T5" s="25">
        <f>COUNTIF($V$4:V5,V5)</f>
        <v>2</v>
      </c>
      <c r="U5" s="25" t="str">
        <f>IF(T5=1,COUNTIF($T$4:T5,1),"")</f>
        <v/>
      </c>
      <c r="V5" s="26" t="str">
        <f>'施設状況(要更新)'!$E5&amp;'施設状況(要更新)'!$C5</f>
        <v>中央区01保育所</v>
      </c>
      <c r="W5" s="26" t="str">
        <f>'施設状況(要更新)'!$F5</f>
        <v>救世軍桑園保育所</v>
      </c>
      <c r="X5" s="27">
        <v>1</v>
      </c>
      <c r="Y5" s="33" t="str">
        <f t="shared" ref="Y5:AI14" si="3">IFERROR(INDEX($T$4:$W$678,MATCH($X5&amp;Y$3,INDEX($T$4:$T$678&amp;$V$4:$V$678,),0),MATCH("施設名",$T$3:$W$3,0)),"")</f>
        <v>札幌市未来局保育園【例】</v>
      </c>
      <c r="Z5" s="29" t="str">
        <f t="shared" si="3"/>
        <v>あいの里協働保育園</v>
      </c>
      <c r="AA5" s="29" t="str">
        <f t="shared" si="3"/>
        <v>札苗保育園</v>
      </c>
      <c r="AB5" s="29" t="str">
        <f t="shared" si="3"/>
        <v>東札幌かすたねっと保育園</v>
      </c>
      <c r="AC5" s="29" t="str">
        <f t="shared" si="3"/>
        <v>まごころ保育園</v>
      </c>
      <c r="AD5" s="29" t="str">
        <f t="shared" si="3"/>
        <v>札幌愛隣舘保育園</v>
      </c>
      <c r="AE5" s="29" t="str">
        <f t="shared" si="3"/>
        <v>札幌北野保育園</v>
      </c>
      <c r="AF5" s="29" t="str">
        <f t="shared" si="3"/>
        <v>真駒内保育園</v>
      </c>
      <c r="AG5" s="29" t="str">
        <f t="shared" si="3"/>
        <v>発寒ひかり保育園</v>
      </c>
      <c r="AH5" s="29" t="str">
        <f t="shared" si="3"/>
        <v>新発寒たんぽぽ保育園</v>
      </c>
      <c r="AI5" s="29">
        <f t="shared" si="3"/>
        <v>0</v>
      </c>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30"/>
      <c r="CT5" s="30"/>
      <c r="CU5" s="30"/>
      <c r="CV5" s="30"/>
      <c r="CW5" s="30"/>
      <c r="CX5" s="30"/>
      <c r="CY5" s="30"/>
      <c r="CZ5" s="30"/>
      <c r="DA5" s="30"/>
      <c r="DB5" s="30"/>
      <c r="DC5" s="30"/>
      <c r="DD5" s="30"/>
      <c r="DE5" s="30"/>
      <c r="DF5" s="30"/>
      <c r="DG5" s="30"/>
      <c r="DH5" s="30"/>
      <c r="DI5" s="30"/>
      <c r="DJ5" s="31"/>
    </row>
    <row r="6" spans="1:117">
      <c r="A6" s="45">
        <v>100005</v>
      </c>
      <c r="B6" s="46" t="s">
        <v>277</v>
      </c>
      <c r="C6" s="46" t="s">
        <v>626</v>
      </c>
      <c r="D6" s="46" t="s">
        <v>1027</v>
      </c>
      <c r="E6" s="46" t="s">
        <v>278</v>
      </c>
      <c r="F6" s="46" t="s">
        <v>280</v>
      </c>
      <c r="G6" s="46"/>
      <c r="H6" s="46"/>
      <c r="I6" s="46"/>
      <c r="J6" s="46">
        <v>90</v>
      </c>
      <c r="K6" s="46">
        <v>0</v>
      </c>
      <c r="L6" s="46">
        <v>51</v>
      </c>
      <c r="M6" s="46">
        <v>9</v>
      </c>
      <c r="N6" s="46">
        <v>30</v>
      </c>
      <c r="O6" s="46">
        <f>SUM(テーブル1[[#This Row],[列11]:[列12]])</f>
        <v>39</v>
      </c>
      <c r="P6" s="46"/>
      <c r="Q6" s="46"/>
      <c r="R6" s="46">
        <f t="shared" si="1"/>
        <v>90</v>
      </c>
      <c r="S6" s="25">
        <f t="shared" si="2"/>
        <v>100005</v>
      </c>
      <c r="T6" s="25">
        <f>COUNTIF($V$4:V6,V6)</f>
        <v>3</v>
      </c>
      <c r="U6" s="25" t="str">
        <f>IF(T6=1,COUNTIF($T$4:T6,1),"")</f>
        <v/>
      </c>
      <c r="V6" s="26" t="str">
        <f>'施設状況(要更新)'!$E6&amp;'施設状況(要更新)'!$C6</f>
        <v>中央区01保育所</v>
      </c>
      <c r="W6" s="26" t="str">
        <f>'施設状況(要更新)'!$F6</f>
        <v>駒鳥保育所</v>
      </c>
      <c r="X6" s="27">
        <v>2</v>
      </c>
      <c r="Y6" s="28" t="str">
        <f t="shared" si="3"/>
        <v>救世軍桑園保育所</v>
      </c>
      <c r="Z6" s="29" t="str">
        <f t="shared" si="3"/>
        <v>ドリームキッズ保育園</v>
      </c>
      <c r="AA6" s="29" t="str">
        <f t="shared" si="3"/>
        <v>元町にこにこ保育園</v>
      </c>
      <c r="AB6" s="29" t="str">
        <f t="shared" si="3"/>
        <v>札幌愛隣舘第二保育園</v>
      </c>
      <c r="AC6" s="29" t="str">
        <f t="shared" si="3"/>
        <v>ひばりが丘保育園</v>
      </c>
      <c r="AD6" s="29" t="str">
        <f t="shared" si="3"/>
        <v>札幌第１福ちゃん保育園</v>
      </c>
      <c r="AE6" s="29" t="str">
        <f t="shared" si="3"/>
        <v>札幌南清田保育園</v>
      </c>
      <c r="AF6" s="29" t="str">
        <f t="shared" si="3"/>
        <v>藻岩そらいろ保育園</v>
      </c>
      <c r="AG6" s="29" t="str">
        <f t="shared" si="3"/>
        <v>西発寒保育園</v>
      </c>
      <c r="AH6" s="29" t="str">
        <f t="shared" si="3"/>
        <v>宮の沢さくら保育園</v>
      </c>
      <c r="AI6" s="29">
        <f t="shared" si="3"/>
        <v>0</v>
      </c>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30"/>
      <c r="CT6" s="30"/>
      <c r="CU6" s="30"/>
      <c r="CV6" s="30"/>
      <c r="CW6" s="30"/>
      <c r="CX6" s="30"/>
      <c r="CY6" s="30"/>
      <c r="CZ6" s="30"/>
      <c r="DA6" s="30"/>
      <c r="DB6" s="30"/>
      <c r="DC6" s="30"/>
      <c r="DD6" s="30"/>
      <c r="DE6" s="30"/>
      <c r="DF6" s="30"/>
      <c r="DG6" s="30"/>
      <c r="DH6" s="30"/>
      <c r="DI6" s="30"/>
      <c r="DJ6" s="31"/>
    </row>
    <row r="7" spans="1:117">
      <c r="A7" s="45">
        <v>100007</v>
      </c>
      <c r="B7" s="46" t="s">
        <v>277</v>
      </c>
      <c r="C7" s="46" t="s">
        <v>626</v>
      </c>
      <c r="D7" s="46" t="s">
        <v>1027</v>
      </c>
      <c r="E7" s="46" t="s">
        <v>278</v>
      </c>
      <c r="F7" s="46" t="s">
        <v>281</v>
      </c>
      <c r="G7" s="46"/>
      <c r="H7" s="46"/>
      <c r="I7" s="46"/>
      <c r="J7" s="46">
        <v>60</v>
      </c>
      <c r="K7" s="46">
        <v>0</v>
      </c>
      <c r="L7" s="46">
        <v>36</v>
      </c>
      <c r="M7" s="46">
        <v>5</v>
      </c>
      <c r="N7" s="46">
        <v>19</v>
      </c>
      <c r="O7" s="46">
        <f>SUM(テーブル1[[#This Row],[列11]:[列12]])</f>
        <v>24</v>
      </c>
      <c r="P7" s="46"/>
      <c r="Q7" s="46"/>
      <c r="R7" s="46">
        <f t="shared" si="1"/>
        <v>60</v>
      </c>
      <c r="S7" s="25">
        <f t="shared" si="2"/>
        <v>100007</v>
      </c>
      <c r="T7" s="25">
        <f>COUNTIF($V$4:V7,V7)</f>
        <v>4</v>
      </c>
      <c r="U7" s="25" t="str">
        <f>IF(T7=1,COUNTIF($T$4:T7,1),"")</f>
        <v/>
      </c>
      <c r="V7" s="26" t="str">
        <f>'施設状況(要更新)'!$E7&amp;'施設状況(要更新)'!$C7</f>
        <v>中央区01保育所</v>
      </c>
      <c r="W7" s="26" t="str">
        <f>'施設状況(要更新)'!$F7</f>
        <v>円山北町保育園</v>
      </c>
      <c r="X7" s="27">
        <v>3</v>
      </c>
      <c r="Y7" s="28" t="str">
        <f t="shared" si="3"/>
        <v>駒鳥保育所</v>
      </c>
      <c r="Z7" s="29" t="str">
        <f t="shared" si="3"/>
        <v>アートチャイルドケア札幌百合が原</v>
      </c>
      <c r="AA7" s="29" t="str">
        <f t="shared" si="3"/>
        <v>札苗北保育園</v>
      </c>
      <c r="AB7" s="29" t="str">
        <f t="shared" si="3"/>
        <v>菊水元町保育園</v>
      </c>
      <c r="AC7" s="29" t="str">
        <f t="shared" si="3"/>
        <v>青葉興正保育園</v>
      </c>
      <c r="AD7" s="29" t="str">
        <f t="shared" si="3"/>
        <v>西岡保育園</v>
      </c>
      <c r="AE7" s="29" t="str">
        <f t="shared" si="3"/>
        <v>さわやか保育園</v>
      </c>
      <c r="AF7" s="29" t="str">
        <f t="shared" si="3"/>
        <v>まこまないみどりまち保育園</v>
      </c>
      <c r="AG7" s="29" t="str">
        <f t="shared" si="3"/>
        <v>発寒たんぽぽ保育園</v>
      </c>
      <c r="AH7" s="29" t="str">
        <f t="shared" si="3"/>
        <v>さより第２保育園</v>
      </c>
      <c r="AI7" s="29">
        <f t="shared" si="3"/>
        <v>0</v>
      </c>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30"/>
      <c r="CT7" s="30"/>
      <c r="CU7" s="30"/>
      <c r="CV7" s="30"/>
      <c r="CW7" s="30"/>
      <c r="CX7" s="30"/>
      <c r="CY7" s="30"/>
      <c r="CZ7" s="30"/>
      <c r="DA7" s="30"/>
      <c r="DB7" s="30"/>
      <c r="DC7" s="30"/>
      <c r="DD7" s="30"/>
      <c r="DE7" s="30"/>
      <c r="DF7" s="30"/>
      <c r="DG7" s="30"/>
      <c r="DH7" s="30"/>
      <c r="DI7" s="30"/>
      <c r="DJ7" s="31"/>
    </row>
    <row r="8" spans="1:117">
      <c r="A8" s="45">
        <v>100008</v>
      </c>
      <c r="B8" s="46" t="s">
        <v>277</v>
      </c>
      <c r="C8" s="46" t="s">
        <v>626</v>
      </c>
      <c r="D8" s="46" t="s">
        <v>1027</v>
      </c>
      <c r="E8" s="46" t="s">
        <v>278</v>
      </c>
      <c r="F8" s="46" t="s">
        <v>282</v>
      </c>
      <c r="G8" s="46"/>
      <c r="H8" s="46"/>
      <c r="I8" s="46"/>
      <c r="J8" s="46">
        <v>90</v>
      </c>
      <c r="K8" s="46">
        <v>0</v>
      </c>
      <c r="L8" s="46">
        <v>45</v>
      </c>
      <c r="M8" s="46">
        <v>15</v>
      </c>
      <c r="N8" s="46">
        <v>30</v>
      </c>
      <c r="O8" s="46">
        <f>SUM(テーブル1[[#This Row],[列11]:[列12]])</f>
        <v>45</v>
      </c>
      <c r="P8" s="46"/>
      <c r="Q8" s="46"/>
      <c r="R8" s="46">
        <f t="shared" si="1"/>
        <v>90</v>
      </c>
      <c r="S8" s="25">
        <f t="shared" si="2"/>
        <v>100008</v>
      </c>
      <c r="T8" s="25">
        <f>COUNTIF($V$4:V8,V8)</f>
        <v>5</v>
      </c>
      <c r="U8" s="25" t="str">
        <f>IF(T8=1,COUNTIF($T$4:T8,1),"")</f>
        <v/>
      </c>
      <c r="V8" s="26" t="str">
        <f>'施設状況(要更新)'!$E8&amp;'施設状況(要更新)'!$C8</f>
        <v>中央区01保育所</v>
      </c>
      <c r="W8" s="26" t="str">
        <f>'施設状況(要更新)'!$F8</f>
        <v>愛育保育園</v>
      </c>
      <c r="X8" s="27">
        <v>4</v>
      </c>
      <c r="Y8" s="28" t="str">
        <f t="shared" si="3"/>
        <v>円山北町保育園</v>
      </c>
      <c r="Z8" s="29" t="str">
        <f t="shared" si="3"/>
        <v>新琴似南保育園</v>
      </c>
      <c r="AA8" s="29" t="str">
        <f t="shared" si="3"/>
        <v>ちゃいれっく北８条東保育園</v>
      </c>
      <c r="AB8" s="29" t="str">
        <f t="shared" si="3"/>
        <v>大谷地たかだ保育園</v>
      </c>
      <c r="AC8" s="29" t="str">
        <f t="shared" si="3"/>
        <v>もみじ台北保育園</v>
      </c>
      <c r="AD8" s="29" t="str">
        <f t="shared" si="3"/>
        <v>札幌愛隣舘東山保育園</v>
      </c>
      <c r="AE8" s="29" t="str">
        <f t="shared" si="3"/>
        <v>札幌あさひ保育園</v>
      </c>
      <c r="AF8" s="29" t="str">
        <f t="shared" si="3"/>
        <v>大地の杜保育園</v>
      </c>
      <c r="AG8" s="29" t="str">
        <f t="shared" si="3"/>
        <v>西野中央保育園</v>
      </c>
      <c r="AH8" s="29" t="str">
        <f t="shared" si="3"/>
        <v>つくし保育園</v>
      </c>
      <c r="AI8" s="29">
        <f t="shared" si="3"/>
        <v>0</v>
      </c>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30"/>
      <c r="CT8" s="30"/>
      <c r="CU8" s="30"/>
      <c r="CV8" s="30"/>
      <c r="CW8" s="30"/>
      <c r="CX8" s="30"/>
      <c r="CY8" s="30"/>
      <c r="CZ8" s="30"/>
      <c r="DA8" s="30"/>
      <c r="DB8" s="30"/>
      <c r="DC8" s="30"/>
      <c r="DD8" s="30"/>
      <c r="DE8" s="30"/>
      <c r="DF8" s="30"/>
      <c r="DG8" s="30"/>
      <c r="DH8" s="30"/>
      <c r="DI8" s="30"/>
      <c r="DJ8" s="31"/>
    </row>
    <row r="9" spans="1:117">
      <c r="A9" s="45">
        <v>100010</v>
      </c>
      <c r="B9" s="46" t="s">
        <v>277</v>
      </c>
      <c r="C9" s="46" t="s">
        <v>626</v>
      </c>
      <c r="D9" s="46" t="s">
        <v>1027</v>
      </c>
      <c r="E9" s="46" t="s">
        <v>278</v>
      </c>
      <c r="F9" s="46" t="s">
        <v>283</v>
      </c>
      <c r="G9" s="46"/>
      <c r="H9" s="46"/>
      <c r="I9" s="46"/>
      <c r="J9" s="46">
        <v>90</v>
      </c>
      <c r="K9" s="46">
        <v>0</v>
      </c>
      <c r="L9" s="46">
        <v>51</v>
      </c>
      <c r="M9" s="46">
        <v>9</v>
      </c>
      <c r="N9" s="46">
        <v>30</v>
      </c>
      <c r="O9" s="46">
        <f>SUM(テーブル1[[#This Row],[列11]:[列12]])</f>
        <v>39</v>
      </c>
      <c r="P9" s="46"/>
      <c r="Q9" s="46"/>
      <c r="R9" s="46">
        <f t="shared" si="1"/>
        <v>90</v>
      </c>
      <c r="S9" s="25">
        <f t="shared" si="2"/>
        <v>100010</v>
      </c>
      <c r="T9" s="25">
        <f>COUNTIF($V$4:V9,V9)</f>
        <v>6</v>
      </c>
      <c r="U9" s="25" t="str">
        <f>IF(T9=1,COUNTIF($T$4:T9,1),"")</f>
        <v/>
      </c>
      <c r="V9" s="26" t="str">
        <f>'施設状況(要更新)'!$E9&amp;'施設状況(要更新)'!$C9</f>
        <v>中央区01保育所</v>
      </c>
      <c r="W9" s="26" t="str">
        <f>'施設状況(要更新)'!$F9</f>
        <v>山鼻保育園</v>
      </c>
      <c r="X9" s="27">
        <v>5</v>
      </c>
      <c r="Y9" s="28" t="str">
        <f t="shared" si="3"/>
        <v>愛育保育園</v>
      </c>
      <c r="Z9" s="29" t="str">
        <f t="shared" si="3"/>
        <v>屯田保育園</v>
      </c>
      <c r="AA9" s="29" t="str">
        <f t="shared" si="3"/>
        <v>苗穂保育園</v>
      </c>
      <c r="AB9" s="29" t="str">
        <f t="shared" si="3"/>
        <v>南郷保育園</v>
      </c>
      <c r="AC9" s="29" t="str">
        <f t="shared" si="3"/>
        <v>厚別共栄保育園</v>
      </c>
      <c r="AD9" s="29" t="str">
        <f t="shared" si="3"/>
        <v>札幌愛隣舘りんご保育園</v>
      </c>
      <c r="AE9" s="29" t="str">
        <f t="shared" si="3"/>
        <v>札幌真栄東保育園</v>
      </c>
      <c r="AF9" s="29" t="str">
        <f t="shared" si="3"/>
        <v>遊・Ｗｉｎｇ</v>
      </c>
      <c r="AG9" s="29" t="str">
        <f t="shared" si="3"/>
        <v>八軒星の子保育園</v>
      </c>
      <c r="AH9" s="29" t="str">
        <f t="shared" si="3"/>
        <v>札幌北陽保育園</v>
      </c>
      <c r="AI9" s="29">
        <f t="shared" si="3"/>
        <v>0</v>
      </c>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30"/>
      <c r="CT9" s="30"/>
      <c r="CU9" s="30"/>
      <c r="CV9" s="30"/>
      <c r="CW9" s="30"/>
      <c r="CX9" s="30"/>
      <c r="CY9" s="30"/>
      <c r="CZ9" s="30"/>
      <c r="DA9" s="30"/>
      <c r="DB9" s="30"/>
      <c r="DC9" s="30"/>
      <c r="DD9" s="30"/>
      <c r="DE9" s="30"/>
      <c r="DF9" s="30"/>
      <c r="DG9" s="30"/>
      <c r="DH9" s="30"/>
      <c r="DI9" s="30"/>
      <c r="DJ9" s="31"/>
    </row>
    <row r="10" spans="1:117">
      <c r="A10" s="45">
        <v>100011</v>
      </c>
      <c r="B10" s="46" t="s">
        <v>277</v>
      </c>
      <c r="C10" s="46" t="s">
        <v>626</v>
      </c>
      <c r="D10" s="46" t="s">
        <v>1027</v>
      </c>
      <c r="E10" s="46" t="s">
        <v>278</v>
      </c>
      <c r="F10" s="46" t="s">
        <v>284</v>
      </c>
      <c r="G10" s="46"/>
      <c r="H10" s="46"/>
      <c r="I10" s="46"/>
      <c r="J10" s="46">
        <v>150</v>
      </c>
      <c r="K10" s="46">
        <v>0</v>
      </c>
      <c r="L10" s="46">
        <v>80</v>
      </c>
      <c r="M10" s="46">
        <v>12</v>
      </c>
      <c r="N10" s="46">
        <v>38</v>
      </c>
      <c r="O10" s="46">
        <f>SUM(テーブル1[[#This Row],[列11]:[列12]])</f>
        <v>50</v>
      </c>
      <c r="P10" s="46"/>
      <c r="Q10" s="46"/>
      <c r="R10" s="46">
        <f t="shared" si="1"/>
        <v>130</v>
      </c>
      <c r="S10" s="25">
        <f t="shared" si="2"/>
        <v>100011</v>
      </c>
      <c r="T10" s="25">
        <f>COUNTIF($V$4:V10,V10)</f>
        <v>7</v>
      </c>
      <c r="U10" s="25" t="str">
        <f>IF(T10=1,COUNTIF($T$4:T10,1),"")</f>
        <v/>
      </c>
      <c r="V10" s="26" t="str">
        <f>'施設状況(要更新)'!$E10&amp;'施設状況(要更新)'!$C10</f>
        <v>中央区01保育所</v>
      </c>
      <c r="W10" s="26" t="str">
        <f>'施設状況(要更新)'!$F10</f>
        <v>山鼻華園保育園</v>
      </c>
      <c r="X10" s="27">
        <v>6</v>
      </c>
      <c r="Y10" s="28" t="str">
        <f t="shared" si="3"/>
        <v>山鼻保育園</v>
      </c>
      <c r="Z10" s="29" t="str">
        <f t="shared" si="3"/>
        <v>愛和えるむ保育園</v>
      </c>
      <c r="AA10" s="29" t="str">
        <f t="shared" si="3"/>
        <v>札幌第２福ちゃん保育園</v>
      </c>
      <c r="AB10" s="29" t="str">
        <f t="shared" si="3"/>
        <v>東白石雪ん子保育園</v>
      </c>
      <c r="AC10" s="29" t="str">
        <f t="shared" si="3"/>
        <v>もみじ台南保育園</v>
      </c>
      <c r="AD10" s="29" t="str">
        <f t="shared" si="3"/>
        <v>子どもの家保育園</v>
      </c>
      <c r="AE10" s="29" t="str">
        <f t="shared" si="3"/>
        <v>ラブクローバーの保育園　札幌清田</v>
      </c>
      <c r="AF10" s="29" t="str">
        <f t="shared" si="3"/>
        <v>くまの子保育園</v>
      </c>
      <c r="AG10" s="29" t="str">
        <f t="shared" si="3"/>
        <v>こぐま保育園</v>
      </c>
      <c r="AH10" s="29" t="str">
        <f t="shared" si="3"/>
        <v>あすかぜ保育園</v>
      </c>
      <c r="AI10" s="29">
        <f t="shared" si="3"/>
        <v>0</v>
      </c>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c r="CL10" s="29"/>
      <c r="CM10" s="29"/>
      <c r="CN10" s="29"/>
      <c r="CO10" s="29"/>
      <c r="CP10" s="29"/>
      <c r="CQ10" s="29"/>
      <c r="CR10" s="29"/>
      <c r="CS10" s="30"/>
      <c r="CT10" s="30"/>
      <c r="CU10" s="30"/>
      <c r="CV10" s="30"/>
      <c r="CW10" s="30"/>
      <c r="CX10" s="30"/>
      <c r="CY10" s="30"/>
      <c r="CZ10" s="30"/>
      <c r="DA10" s="30"/>
      <c r="DB10" s="30"/>
      <c r="DC10" s="30"/>
      <c r="DD10" s="30"/>
      <c r="DE10" s="30"/>
      <c r="DF10" s="30"/>
      <c r="DG10" s="30"/>
      <c r="DH10" s="30"/>
      <c r="DI10" s="30"/>
      <c r="DJ10" s="31"/>
    </row>
    <row r="11" spans="1:117">
      <c r="A11" s="45">
        <v>100013</v>
      </c>
      <c r="B11" s="46" t="s">
        <v>277</v>
      </c>
      <c r="C11" s="46" t="s">
        <v>626</v>
      </c>
      <c r="D11" s="46" t="s">
        <v>1027</v>
      </c>
      <c r="E11" s="46" t="s">
        <v>278</v>
      </c>
      <c r="F11" s="46" t="s">
        <v>285</v>
      </c>
      <c r="G11" s="46"/>
      <c r="H11" s="46"/>
      <c r="I11" s="46"/>
      <c r="J11" s="46">
        <v>90</v>
      </c>
      <c r="K11" s="46">
        <v>0</v>
      </c>
      <c r="L11" s="46">
        <v>48</v>
      </c>
      <c r="M11" s="46">
        <v>12</v>
      </c>
      <c r="N11" s="46">
        <v>30</v>
      </c>
      <c r="O11" s="46">
        <f>SUM(テーブル1[[#This Row],[列11]:[列12]])</f>
        <v>42</v>
      </c>
      <c r="P11" s="46"/>
      <c r="Q11" s="46"/>
      <c r="R11" s="46">
        <f t="shared" si="1"/>
        <v>90</v>
      </c>
      <c r="S11" s="25">
        <f t="shared" si="2"/>
        <v>100013</v>
      </c>
      <c r="T11" s="25">
        <f>COUNTIF($V$4:V11,V11)</f>
        <v>8</v>
      </c>
      <c r="U11" s="25" t="str">
        <f>IF(T11=1,COUNTIF($T$4:T11,1),"")</f>
        <v/>
      </c>
      <c r="V11" s="26" t="str">
        <f>'施設状況(要更新)'!$E11&amp;'施設状況(要更新)'!$C11</f>
        <v>中央区01保育所</v>
      </c>
      <c r="W11" s="26" t="str">
        <f>'施設状況(要更新)'!$F11</f>
        <v>幌南華園保育園</v>
      </c>
      <c r="X11" s="27">
        <v>7</v>
      </c>
      <c r="Y11" s="28" t="str">
        <f t="shared" si="3"/>
        <v>山鼻華園保育園</v>
      </c>
      <c r="Z11" s="29" t="str">
        <f t="shared" si="3"/>
        <v>幌北ゆりかご保育園</v>
      </c>
      <c r="AA11" s="29" t="str">
        <f t="shared" si="3"/>
        <v>札幌厚成福祉会第二保育所</v>
      </c>
      <c r="AB11" s="29" t="str">
        <f t="shared" si="3"/>
        <v>こぶし保育園</v>
      </c>
      <c r="AC11" s="29" t="str">
        <f t="shared" si="3"/>
        <v>札幌協働保育園</v>
      </c>
      <c r="AD11" s="29" t="str">
        <f t="shared" si="3"/>
        <v>中の島興正保育園</v>
      </c>
      <c r="AE11" s="29" t="str">
        <f t="shared" si="3"/>
        <v>認可保育園Ｌｉｎｄｏ</v>
      </c>
      <c r="AF11" s="29" t="str">
        <f t="shared" si="3"/>
        <v>藤ヶ丘保育園</v>
      </c>
      <c r="AG11" s="29" t="str">
        <f t="shared" si="3"/>
        <v>吉田学園さくら保育園</v>
      </c>
      <c r="AH11" s="29" t="str">
        <f t="shared" si="3"/>
        <v>手稲桃の花保育園</v>
      </c>
      <c r="AI11" s="29">
        <f t="shared" si="3"/>
        <v>0</v>
      </c>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30"/>
      <c r="CT11" s="30"/>
      <c r="CU11" s="30"/>
      <c r="CV11" s="30"/>
      <c r="CW11" s="30"/>
      <c r="CX11" s="30"/>
      <c r="CY11" s="30"/>
      <c r="CZ11" s="30"/>
      <c r="DA11" s="30"/>
      <c r="DB11" s="30"/>
      <c r="DC11" s="30"/>
      <c r="DD11" s="30"/>
      <c r="DE11" s="30"/>
      <c r="DF11" s="30"/>
      <c r="DG11" s="30"/>
      <c r="DH11" s="30"/>
      <c r="DI11" s="30"/>
      <c r="DJ11" s="31"/>
    </row>
    <row r="12" spans="1:117">
      <c r="A12" s="45">
        <v>100014</v>
      </c>
      <c r="B12" s="46" t="s">
        <v>277</v>
      </c>
      <c r="C12" s="46" t="s">
        <v>626</v>
      </c>
      <c r="D12" s="46" t="s">
        <v>1027</v>
      </c>
      <c r="E12" s="46" t="s">
        <v>278</v>
      </c>
      <c r="F12" s="46" t="s">
        <v>286</v>
      </c>
      <c r="G12" s="46"/>
      <c r="H12" s="46"/>
      <c r="I12" s="46"/>
      <c r="J12" s="46">
        <v>90</v>
      </c>
      <c r="K12" s="46">
        <v>0</v>
      </c>
      <c r="L12" s="46">
        <v>21</v>
      </c>
      <c r="M12" s="46">
        <v>3</v>
      </c>
      <c r="N12" s="46">
        <v>6</v>
      </c>
      <c r="O12" s="46">
        <f>SUM(テーブル1[[#This Row],[列11]:[列12]])</f>
        <v>9</v>
      </c>
      <c r="P12" s="46"/>
      <c r="Q12" s="46"/>
      <c r="R12" s="46">
        <f t="shared" si="1"/>
        <v>30</v>
      </c>
      <c r="S12" s="25">
        <f t="shared" si="2"/>
        <v>100014</v>
      </c>
      <c r="T12" s="25">
        <f>COUNTIF($V$4:V12,V12)</f>
        <v>9</v>
      </c>
      <c r="U12" s="25" t="str">
        <f>IF(T12=1,COUNTIF($T$4:T12,1),"")</f>
        <v/>
      </c>
      <c r="V12" s="26" t="str">
        <f>'施設状況(要更新)'!$E12&amp;'施設状況(要更新)'!$C12</f>
        <v>中央区01保育所</v>
      </c>
      <c r="W12" s="26" t="str">
        <f>'施設状況(要更新)'!$F12</f>
        <v>宮の森保育園</v>
      </c>
      <c r="X12" s="27">
        <v>8</v>
      </c>
      <c r="Y12" s="28" t="str">
        <f t="shared" si="3"/>
        <v>幌南華園保育園</v>
      </c>
      <c r="Z12" s="29" t="str">
        <f t="shared" si="3"/>
        <v>札幌はこぶね保育園</v>
      </c>
      <c r="AA12" s="29" t="str">
        <f t="shared" si="3"/>
        <v>明園保育園</v>
      </c>
      <c r="AB12" s="29" t="str">
        <f t="shared" si="3"/>
        <v>北郷こぶし保育園</v>
      </c>
      <c r="AC12" s="29" t="str">
        <f t="shared" si="3"/>
        <v>厚別こま草保育園</v>
      </c>
      <c r="AD12" s="29" t="str">
        <f t="shared" si="3"/>
        <v>吉田学園やしの木保育園</v>
      </c>
      <c r="AE12" s="29" t="str">
        <f t="shared" si="3"/>
        <v>ラブクローバーの保育園札幌北野</v>
      </c>
      <c r="AF12" s="29" t="str">
        <f t="shared" si="3"/>
        <v>ルンビニー保育園</v>
      </c>
      <c r="AG12" s="29" t="str">
        <f t="shared" si="3"/>
        <v>発寒おおぞら保育園</v>
      </c>
      <c r="AH12" s="29" t="str">
        <f t="shared" si="3"/>
        <v>富丘バオバブ保育園</v>
      </c>
      <c r="AI12" s="29">
        <f t="shared" si="3"/>
        <v>0</v>
      </c>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30"/>
      <c r="CT12" s="30"/>
      <c r="CU12" s="30"/>
      <c r="CV12" s="30"/>
      <c r="CW12" s="30"/>
      <c r="CX12" s="30"/>
      <c r="CY12" s="30"/>
      <c r="CZ12" s="30"/>
      <c r="DA12" s="30"/>
      <c r="DB12" s="30"/>
      <c r="DC12" s="30"/>
      <c r="DD12" s="30"/>
      <c r="DE12" s="30"/>
      <c r="DF12" s="30"/>
      <c r="DG12" s="30"/>
      <c r="DH12" s="30"/>
      <c r="DI12" s="30"/>
      <c r="DJ12" s="31"/>
    </row>
    <row r="13" spans="1:117">
      <c r="A13" s="45">
        <v>100015</v>
      </c>
      <c r="B13" s="46" t="s">
        <v>277</v>
      </c>
      <c r="C13" s="46" t="s">
        <v>626</v>
      </c>
      <c r="D13" s="46" t="s">
        <v>1027</v>
      </c>
      <c r="E13" s="46" t="s">
        <v>278</v>
      </c>
      <c r="F13" s="46" t="s">
        <v>287</v>
      </c>
      <c r="G13" s="46"/>
      <c r="H13" s="46"/>
      <c r="I13" s="46"/>
      <c r="J13" s="46">
        <v>70</v>
      </c>
      <c r="K13" s="46">
        <v>0</v>
      </c>
      <c r="L13" s="46">
        <v>33</v>
      </c>
      <c r="M13" s="46">
        <v>8</v>
      </c>
      <c r="N13" s="46">
        <v>19</v>
      </c>
      <c r="O13" s="46">
        <f>SUM(テーブル1[[#This Row],[列11]:[列12]])</f>
        <v>27</v>
      </c>
      <c r="P13" s="46"/>
      <c r="Q13" s="46"/>
      <c r="R13" s="46">
        <f t="shared" si="1"/>
        <v>60</v>
      </c>
      <c r="S13" s="25">
        <f t="shared" si="2"/>
        <v>100015</v>
      </c>
      <c r="T13" s="25">
        <f>COUNTIF($V$4:V13,V13)</f>
        <v>10</v>
      </c>
      <c r="U13" s="25" t="str">
        <f>IF(T13=1,COUNTIF($T$4:T13,1),"")</f>
        <v/>
      </c>
      <c r="V13" s="26" t="str">
        <f>'施設状況(要更新)'!$E13&amp;'施設状況(要更新)'!$C13</f>
        <v>中央区01保育所</v>
      </c>
      <c r="W13" s="26" t="str">
        <f>'施設状況(要更新)'!$F13</f>
        <v>さより保育園</v>
      </c>
      <c r="X13" s="27">
        <v>9</v>
      </c>
      <c r="Y13" s="28" t="str">
        <f t="shared" si="3"/>
        <v>宮の森保育園</v>
      </c>
      <c r="Z13" s="29" t="str">
        <f t="shared" si="3"/>
        <v>はぐくみ保育園</v>
      </c>
      <c r="AA13" s="29" t="str">
        <f t="shared" si="3"/>
        <v>はらっぱ保育園</v>
      </c>
      <c r="AB13" s="29" t="str">
        <f t="shared" si="3"/>
        <v>アスク白石保育園</v>
      </c>
      <c r="AC13" s="29" t="str">
        <f t="shared" si="3"/>
        <v>新さっぽろとまと保育園</v>
      </c>
      <c r="AD13" s="29" t="str">
        <f t="shared" si="3"/>
        <v>ピッコロ子ども倶楽部月寒園</v>
      </c>
      <c r="AE13" s="29" t="str">
        <f t="shared" si="3"/>
        <v>ちゅうわ清田保育園</v>
      </c>
      <c r="AF13" s="29" t="str">
        <f t="shared" si="3"/>
        <v>ちびっこの杜保育園</v>
      </c>
      <c r="AG13" s="29" t="str">
        <f t="shared" si="3"/>
        <v>アートチャイルドケア琴似</v>
      </c>
      <c r="AH13" s="29" t="str">
        <f t="shared" si="3"/>
        <v>スター保育園前田園</v>
      </c>
      <c r="AI13" s="29">
        <f t="shared" si="3"/>
        <v>0</v>
      </c>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30"/>
      <c r="CT13" s="30"/>
      <c r="CU13" s="30"/>
      <c r="CV13" s="30"/>
      <c r="CW13" s="30"/>
      <c r="CX13" s="30"/>
      <c r="CY13" s="30"/>
      <c r="CZ13" s="30"/>
      <c r="DA13" s="30"/>
      <c r="DB13" s="30"/>
      <c r="DC13" s="30"/>
      <c r="DD13" s="30"/>
      <c r="DE13" s="30"/>
      <c r="DF13" s="30"/>
      <c r="DG13" s="30"/>
      <c r="DH13" s="30"/>
      <c r="DI13" s="30"/>
      <c r="DJ13" s="31"/>
    </row>
    <row r="14" spans="1:117">
      <c r="A14" s="45">
        <v>100018</v>
      </c>
      <c r="B14" s="46" t="s">
        <v>277</v>
      </c>
      <c r="C14" s="46" t="s">
        <v>626</v>
      </c>
      <c r="D14" s="46" t="s">
        <v>1027</v>
      </c>
      <c r="E14" s="46" t="s">
        <v>278</v>
      </c>
      <c r="F14" s="46" t="s">
        <v>288</v>
      </c>
      <c r="G14" s="46"/>
      <c r="H14" s="46"/>
      <c r="I14" s="46"/>
      <c r="J14" s="46">
        <v>60</v>
      </c>
      <c r="K14" s="46">
        <v>0</v>
      </c>
      <c r="L14" s="46">
        <v>30</v>
      </c>
      <c r="M14" s="46">
        <v>10</v>
      </c>
      <c r="N14" s="46">
        <v>20</v>
      </c>
      <c r="O14" s="46">
        <f>SUM(テーブル1[[#This Row],[列11]:[列12]])</f>
        <v>30</v>
      </c>
      <c r="P14" s="46"/>
      <c r="Q14" s="46"/>
      <c r="R14" s="46">
        <f t="shared" si="1"/>
        <v>60</v>
      </c>
      <c r="S14" s="25">
        <f t="shared" si="2"/>
        <v>100018</v>
      </c>
      <c r="T14" s="25">
        <f>COUNTIF($V$4:V14,V14)</f>
        <v>11</v>
      </c>
      <c r="U14" s="25" t="str">
        <f>IF(T14=1,COUNTIF($T$4:T14,1),"")</f>
        <v/>
      </c>
      <c r="V14" s="26" t="str">
        <f>'施設状況(要更新)'!$E14&amp;'施設状況(要更新)'!$C14</f>
        <v>中央区01保育所</v>
      </c>
      <c r="W14" s="26" t="str">
        <f>'施設状況(要更新)'!$F14</f>
        <v>つくしの子共同保育所</v>
      </c>
      <c r="X14" s="27">
        <v>10</v>
      </c>
      <c r="Y14" s="28" t="str">
        <f t="shared" si="3"/>
        <v>さより保育園</v>
      </c>
      <c r="Z14" s="29" t="str">
        <f t="shared" si="3"/>
        <v>子どもの園保育園</v>
      </c>
      <c r="AA14" s="29" t="str">
        <f t="shared" si="3"/>
        <v>心の里親保育園</v>
      </c>
      <c r="AB14" s="29" t="str">
        <f t="shared" si="3"/>
        <v>ポピンズナーサリースクール札幌白石</v>
      </c>
      <c r="AC14" s="29" t="str">
        <f t="shared" si="3"/>
        <v>きっずぱーく厚別保育園</v>
      </c>
      <c r="AD14" s="29" t="str">
        <f t="shared" si="3"/>
        <v>ピッコロ子ども倶楽部福住園</v>
      </c>
      <c r="AE14" s="29" t="str">
        <f t="shared" si="3"/>
        <v>緑ヶ丘保育園</v>
      </c>
      <c r="AF14" s="29" t="str">
        <f t="shared" si="3"/>
        <v>こどもみらい保育園常盤園</v>
      </c>
      <c r="AG14" s="29" t="str">
        <f t="shared" si="3"/>
        <v>アートチャイルドケア札幌八軒</v>
      </c>
      <c r="AH14" s="29" t="str">
        <f t="shared" si="3"/>
        <v>新発寒みつばち保育園</v>
      </c>
      <c r="AI14" s="29">
        <f t="shared" si="3"/>
        <v>0</v>
      </c>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30"/>
      <c r="CT14" s="30"/>
      <c r="CU14" s="30"/>
      <c r="CV14" s="30"/>
      <c r="CW14" s="30"/>
      <c r="CX14" s="30"/>
      <c r="CY14" s="30"/>
      <c r="CZ14" s="30"/>
      <c r="DA14" s="30"/>
      <c r="DB14" s="30"/>
      <c r="DC14" s="30"/>
      <c r="DD14" s="30"/>
      <c r="DE14" s="30"/>
      <c r="DF14" s="30"/>
      <c r="DG14" s="30"/>
      <c r="DH14" s="30"/>
      <c r="DI14" s="30"/>
      <c r="DJ14" s="31"/>
    </row>
    <row r="15" spans="1:117">
      <c r="A15" s="45">
        <v>100020</v>
      </c>
      <c r="B15" s="46" t="s">
        <v>277</v>
      </c>
      <c r="C15" s="46" t="s">
        <v>626</v>
      </c>
      <c r="D15" s="46" t="s">
        <v>1027</v>
      </c>
      <c r="E15" s="46" t="s">
        <v>278</v>
      </c>
      <c r="F15" s="46" t="s">
        <v>289</v>
      </c>
      <c r="G15" s="46"/>
      <c r="H15" s="46"/>
      <c r="I15" s="46"/>
      <c r="J15" s="46">
        <v>120</v>
      </c>
      <c r="K15" s="46">
        <v>0</v>
      </c>
      <c r="L15" s="46">
        <v>63</v>
      </c>
      <c r="M15" s="46">
        <v>15</v>
      </c>
      <c r="N15" s="46">
        <v>42</v>
      </c>
      <c r="O15" s="46">
        <f>SUM(テーブル1[[#This Row],[列11]:[列12]])</f>
        <v>57</v>
      </c>
      <c r="P15" s="46"/>
      <c r="Q15" s="46"/>
      <c r="R15" s="46">
        <f t="shared" si="1"/>
        <v>120</v>
      </c>
      <c r="S15" s="25">
        <f t="shared" si="2"/>
        <v>100020</v>
      </c>
      <c r="T15" s="25">
        <f>COUNTIF($V$4:V15,V15)</f>
        <v>12</v>
      </c>
      <c r="U15" s="25" t="str">
        <f>IF(T15=1,COUNTIF($T$4:T15,1),"")</f>
        <v/>
      </c>
      <c r="V15" s="26" t="str">
        <f>'施設状況(要更新)'!$E15&amp;'施設状況(要更新)'!$C15</f>
        <v>中央区01保育所</v>
      </c>
      <c r="W15" s="26" t="str">
        <f>'施設状況(要更新)'!$F15</f>
        <v>吉田学園くりの木保育園</v>
      </c>
      <c r="X15" s="27">
        <v>11</v>
      </c>
      <c r="Y15" s="28" t="str">
        <f t="shared" ref="Y15:AI24" si="4">IFERROR(INDEX($T$4:$W$678,MATCH($X15&amp;Y$3,INDEX($T$4:$T$678&amp;$V$4:$V$678,),0),MATCH("施設名",$T$3:$W$3,0)),"")</f>
        <v>つくしの子共同保育所</v>
      </c>
      <c r="Z15" s="29" t="str">
        <f t="shared" si="4"/>
        <v>アートチャイルドケア新琴似</v>
      </c>
      <c r="AA15" s="29" t="str">
        <f t="shared" si="4"/>
        <v>元町保育園</v>
      </c>
      <c r="AB15" s="29" t="str">
        <f t="shared" si="4"/>
        <v>大藤子ども園</v>
      </c>
      <c r="AC15" s="29" t="str">
        <f t="shared" si="4"/>
        <v/>
      </c>
      <c r="AD15" s="29" t="str">
        <f t="shared" si="4"/>
        <v>乳幼児保育クラブぞうさん</v>
      </c>
      <c r="AE15" s="29" t="str">
        <f t="shared" si="4"/>
        <v/>
      </c>
      <c r="AF15" s="29" t="str">
        <f t="shared" si="4"/>
        <v>木育こどもの家南の沢保育園</v>
      </c>
      <c r="AG15" s="29" t="str">
        <f t="shared" si="4"/>
        <v>発寒そらいろ保育園</v>
      </c>
      <c r="AH15" s="29" t="str">
        <f t="shared" si="4"/>
        <v>手稲みつばち保育園</v>
      </c>
      <c r="AI15" s="29">
        <f t="shared" si="4"/>
        <v>0</v>
      </c>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30"/>
      <c r="CT15" s="30"/>
      <c r="CU15" s="30"/>
      <c r="CV15" s="30"/>
      <c r="CW15" s="30"/>
      <c r="CX15" s="30"/>
      <c r="CY15" s="30"/>
      <c r="CZ15" s="30"/>
      <c r="DA15" s="30"/>
      <c r="DB15" s="30"/>
      <c r="DC15" s="30"/>
      <c r="DD15" s="30"/>
      <c r="DE15" s="30"/>
      <c r="DF15" s="30"/>
      <c r="DG15" s="30"/>
      <c r="DH15" s="30"/>
      <c r="DI15" s="30"/>
      <c r="DJ15" s="31"/>
    </row>
    <row r="16" spans="1:117">
      <c r="A16" s="45">
        <v>100021</v>
      </c>
      <c r="B16" s="46" t="s">
        <v>277</v>
      </c>
      <c r="C16" s="46" t="s">
        <v>626</v>
      </c>
      <c r="D16" s="46" t="s">
        <v>1027</v>
      </c>
      <c r="E16" s="46" t="s">
        <v>278</v>
      </c>
      <c r="F16" s="46" t="s">
        <v>290</v>
      </c>
      <c r="G16" s="46"/>
      <c r="H16" s="46"/>
      <c r="I16" s="46"/>
      <c r="J16" s="46">
        <v>90</v>
      </c>
      <c r="K16" s="46">
        <v>0</v>
      </c>
      <c r="L16" s="46">
        <v>45</v>
      </c>
      <c r="M16" s="46">
        <v>15</v>
      </c>
      <c r="N16" s="46">
        <v>30</v>
      </c>
      <c r="O16" s="46">
        <f>SUM(テーブル1[[#This Row],[列11]:[列12]])</f>
        <v>45</v>
      </c>
      <c r="P16" s="46"/>
      <c r="Q16" s="46"/>
      <c r="R16" s="46">
        <f t="shared" si="1"/>
        <v>90</v>
      </c>
      <c r="S16" s="25">
        <f t="shared" si="2"/>
        <v>100021</v>
      </c>
      <c r="T16" s="25">
        <f>COUNTIF($V$4:V16,V16)</f>
        <v>13</v>
      </c>
      <c r="U16" s="25" t="str">
        <f>IF(T16=1,COUNTIF($T$4:T16,1),"")</f>
        <v/>
      </c>
      <c r="V16" s="26" t="str">
        <f>'施設状況(要更新)'!$E16&amp;'施設状況(要更新)'!$C16</f>
        <v>中央区01保育所</v>
      </c>
      <c r="W16" s="26" t="str">
        <f>'施設状況(要更新)'!$F16</f>
        <v>こうさい保育園</v>
      </c>
      <c r="X16" s="27">
        <v>12</v>
      </c>
      <c r="Y16" s="28" t="str">
        <f t="shared" si="4"/>
        <v>吉田学園くりの木保育園</v>
      </c>
      <c r="Z16" s="29" t="str">
        <f t="shared" si="4"/>
        <v>つばさ保育園</v>
      </c>
      <c r="AA16" s="29" t="str">
        <f t="shared" si="4"/>
        <v>モエレはとポッポ保育園</v>
      </c>
      <c r="AB16" s="29" t="str">
        <f t="shared" si="4"/>
        <v>ピッコロ子ども倶楽部東札幌園</v>
      </c>
      <c r="AC16" s="29" t="str">
        <f t="shared" si="4"/>
        <v/>
      </c>
      <c r="AD16" s="29" t="str">
        <f t="shared" si="4"/>
        <v>スクルドエンジェル保育園月寒園</v>
      </c>
      <c r="AE16" s="29" t="str">
        <f t="shared" si="4"/>
        <v/>
      </c>
      <c r="AF16" s="29" t="str">
        <f t="shared" si="4"/>
        <v/>
      </c>
      <c r="AG16" s="29" t="str">
        <f t="shared" si="4"/>
        <v>アートチャイルドケア札幌二十四軒</v>
      </c>
      <c r="AH16" s="29" t="str">
        <f t="shared" si="4"/>
        <v>手稲中央さら～れ保育園</v>
      </c>
      <c r="AI16" s="29">
        <f t="shared" si="4"/>
        <v>0</v>
      </c>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30"/>
      <c r="CT16" s="30"/>
      <c r="CU16" s="30"/>
      <c r="CV16" s="30"/>
      <c r="CW16" s="30"/>
      <c r="CX16" s="30"/>
      <c r="CY16" s="30"/>
      <c r="CZ16" s="30"/>
      <c r="DA16" s="30"/>
      <c r="DB16" s="30"/>
      <c r="DC16" s="30"/>
      <c r="DD16" s="30"/>
      <c r="DE16" s="30"/>
      <c r="DF16" s="30"/>
      <c r="DG16" s="30"/>
      <c r="DH16" s="30"/>
      <c r="DI16" s="30"/>
      <c r="DJ16" s="31"/>
    </row>
    <row r="17" spans="1:114">
      <c r="A17" s="45">
        <v>100022</v>
      </c>
      <c r="B17" s="46" t="s">
        <v>277</v>
      </c>
      <c r="C17" s="46" t="s">
        <v>626</v>
      </c>
      <c r="D17" s="46" t="s">
        <v>1027</v>
      </c>
      <c r="E17" s="46" t="s">
        <v>278</v>
      </c>
      <c r="F17" s="46" t="s">
        <v>291</v>
      </c>
      <c r="G17" s="46"/>
      <c r="H17" s="46"/>
      <c r="I17" s="46"/>
      <c r="J17" s="46">
        <v>60</v>
      </c>
      <c r="K17" s="46">
        <v>0</v>
      </c>
      <c r="L17" s="46">
        <v>30</v>
      </c>
      <c r="M17" s="46">
        <v>10</v>
      </c>
      <c r="N17" s="46">
        <v>20</v>
      </c>
      <c r="O17" s="46">
        <f>SUM(テーブル1[[#This Row],[列11]:[列12]])</f>
        <v>30</v>
      </c>
      <c r="P17" s="46"/>
      <c r="Q17" s="46"/>
      <c r="R17" s="46">
        <f t="shared" si="1"/>
        <v>60</v>
      </c>
      <c r="S17" s="25">
        <f t="shared" si="2"/>
        <v>100022</v>
      </c>
      <c r="T17" s="25">
        <f>COUNTIF($V$4:V17,V17)</f>
        <v>14</v>
      </c>
      <c r="U17" s="25" t="str">
        <f>IF(T17=1,COUNTIF($T$4:T17,1),"")</f>
        <v/>
      </c>
      <c r="V17" s="26" t="str">
        <f>'施設状況(要更新)'!$E17&amp;'施設状況(要更新)'!$C17</f>
        <v>中央区01保育所</v>
      </c>
      <c r="W17" s="26" t="str">
        <f>'施設状況(要更新)'!$F17</f>
        <v>アートチャイルドケア札幌桑園</v>
      </c>
      <c r="X17" s="27">
        <v>13</v>
      </c>
      <c r="Y17" s="28" t="str">
        <f t="shared" si="4"/>
        <v>こうさい保育園</v>
      </c>
      <c r="Z17" s="29" t="str">
        <f t="shared" si="4"/>
        <v>アスク新琴似保育園</v>
      </c>
      <c r="AA17" s="29" t="str">
        <f t="shared" si="4"/>
        <v>光星はとポッポ保育園</v>
      </c>
      <c r="AB17" s="29" t="str">
        <f t="shared" si="4"/>
        <v>太陽の子札幌白石保育園</v>
      </c>
      <c r="AC17" s="29" t="str">
        <f t="shared" si="4"/>
        <v/>
      </c>
      <c r="AD17" s="29" t="str">
        <f t="shared" si="4"/>
        <v>月寒じゅんのめ保育園</v>
      </c>
      <c r="AE17" s="29" t="str">
        <f t="shared" si="4"/>
        <v/>
      </c>
      <c r="AF17" s="29" t="str">
        <f t="shared" si="4"/>
        <v/>
      </c>
      <c r="AG17" s="29" t="str">
        <f t="shared" si="4"/>
        <v>ことに保育園</v>
      </c>
      <c r="AH17" s="29" t="str">
        <f t="shared" si="4"/>
        <v/>
      </c>
      <c r="AI17" s="29">
        <f t="shared" si="4"/>
        <v>0</v>
      </c>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30"/>
      <c r="CT17" s="30"/>
      <c r="CU17" s="30"/>
      <c r="CV17" s="30"/>
      <c r="CW17" s="30"/>
      <c r="CX17" s="30"/>
      <c r="CY17" s="30"/>
      <c r="CZ17" s="30"/>
      <c r="DA17" s="30"/>
      <c r="DB17" s="30"/>
      <c r="DC17" s="30"/>
      <c r="DD17" s="30"/>
      <c r="DE17" s="30"/>
      <c r="DF17" s="30"/>
      <c r="DG17" s="30"/>
      <c r="DH17" s="30"/>
      <c r="DI17" s="30"/>
      <c r="DJ17" s="31"/>
    </row>
    <row r="18" spans="1:114">
      <c r="A18" s="45">
        <v>100023</v>
      </c>
      <c r="B18" s="46" t="s">
        <v>277</v>
      </c>
      <c r="C18" s="46" t="s">
        <v>626</v>
      </c>
      <c r="D18" s="46" t="s">
        <v>1027</v>
      </c>
      <c r="E18" s="46" t="s">
        <v>278</v>
      </c>
      <c r="F18" s="46" t="s">
        <v>292</v>
      </c>
      <c r="G18" s="46"/>
      <c r="H18" s="46"/>
      <c r="I18" s="46"/>
      <c r="J18" s="46">
        <v>60</v>
      </c>
      <c r="K18" s="46">
        <v>0</v>
      </c>
      <c r="L18" s="46">
        <v>33</v>
      </c>
      <c r="M18" s="46">
        <v>6</v>
      </c>
      <c r="N18" s="46">
        <v>21</v>
      </c>
      <c r="O18" s="46">
        <f>SUM(テーブル1[[#This Row],[列11]:[列12]])</f>
        <v>27</v>
      </c>
      <c r="P18" s="46"/>
      <c r="Q18" s="46"/>
      <c r="R18" s="46">
        <f t="shared" si="1"/>
        <v>60</v>
      </c>
      <c r="S18" s="25">
        <f t="shared" si="2"/>
        <v>100023</v>
      </c>
      <c r="T18" s="25">
        <f>COUNTIF($V$4:V18,V18)</f>
        <v>15</v>
      </c>
      <c r="U18" s="25" t="str">
        <f>IF(T18=1,COUNTIF($T$4:T18,1),"")</f>
        <v/>
      </c>
      <c r="V18" s="26" t="str">
        <f>'施設状況(要更新)'!$E18&amp;'施設状況(要更新)'!$C18</f>
        <v>中央区01保育所</v>
      </c>
      <c r="W18" s="26" t="str">
        <f>'施設状況(要更新)'!$F18</f>
        <v>アスク桑園保育園</v>
      </c>
      <c r="X18" s="27">
        <v>14</v>
      </c>
      <c r="Y18" s="28" t="str">
        <f t="shared" si="4"/>
        <v>アートチャイルドケア札幌桑園</v>
      </c>
      <c r="Z18" s="29" t="str">
        <f t="shared" si="4"/>
        <v>アートチャイルドケア北大前</v>
      </c>
      <c r="AA18" s="29" t="str">
        <f t="shared" si="4"/>
        <v>栄町あおぞら保育園</v>
      </c>
      <c r="AB18" s="29" t="str">
        <f t="shared" si="4"/>
        <v>米里保育園</v>
      </c>
      <c r="AC18" s="29" t="str">
        <f t="shared" si="4"/>
        <v/>
      </c>
      <c r="AD18" s="29" t="str">
        <f t="shared" si="4"/>
        <v>きゃんばす平岸保育園</v>
      </c>
      <c r="AE18" s="29" t="str">
        <f t="shared" si="4"/>
        <v/>
      </c>
      <c r="AF18" s="29" t="str">
        <f t="shared" si="4"/>
        <v/>
      </c>
      <c r="AG18" s="29" t="str">
        <f t="shared" si="4"/>
        <v>西野ふれ愛保育園</v>
      </c>
      <c r="AH18" s="29" t="str">
        <f t="shared" si="4"/>
        <v/>
      </c>
      <c r="AI18" s="29">
        <f t="shared" si="4"/>
        <v>0</v>
      </c>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30"/>
      <c r="CT18" s="30"/>
      <c r="CU18" s="30"/>
      <c r="CV18" s="30"/>
      <c r="CW18" s="30"/>
      <c r="CX18" s="30"/>
      <c r="CY18" s="30"/>
      <c r="CZ18" s="30"/>
      <c r="DA18" s="30"/>
      <c r="DB18" s="30"/>
      <c r="DC18" s="30"/>
      <c r="DD18" s="30"/>
      <c r="DE18" s="30"/>
      <c r="DF18" s="30"/>
      <c r="DG18" s="30"/>
      <c r="DH18" s="30"/>
      <c r="DI18" s="30"/>
      <c r="DJ18" s="31"/>
    </row>
    <row r="19" spans="1:114">
      <c r="A19" s="45">
        <v>100025</v>
      </c>
      <c r="B19" s="46" t="s">
        <v>277</v>
      </c>
      <c r="C19" s="46" t="s">
        <v>626</v>
      </c>
      <c r="D19" s="46" t="s">
        <v>1027</v>
      </c>
      <c r="E19" s="46" t="s">
        <v>278</v>
      </c>
      <c r="F19" s="46" t="s">
        <v>293</v>
      </c>
      <c r="G19" s="46"/>
      <c r="H19" s="46"/>
      <c r="I19" s="46"/>
      <c r="J19" s="46">
        <v>90</v>
      </c>
      <c r="K19" s="46">
        <v>0</v>
      </c>
      <c r="L19" s="46">
        <v>50</v>
      </c>
      <c r="M19" s="46">
        <v>9</v>
      </c>
      <c r="N19" s="46">
        <v>31</v>
      </c>
      <c r="O19" s="46">
        <f>SUM(テーブル1[[#This Row],[列11]:[列12]])</f>
        <v>40</v>
      </c>
      <c r="P19" s="46"/>
      <c r="Q19" s="46"/>
      <c r="R19" s="46">
        <f t="shared" si="1"/>
        <v>90</v>
      </c>
      <c r="S19" s="25">
        <f t="shared" si="2"/>
        <v>100025</v>
      </c>
      <c r="T19" s="25">
        <f>COUNTIF($V$4:V19,V19)</f>
        <v>16</v>
      </c>
      <c r="U19" s="25" t="str">
        <f>IF(T19=1,COUNTIF($T$4:T19,1),"")</f>
        <v/>
      </c>
      <c r="V19" s="26" t="str">
        <f>'施設状況(要更新)'!$E19&amp;'施設状況(要更新)'!$C19</f>
        <v>中央区01保育所</v>
      </c>
      <c r="W19" s="26" t="str">
        <f>'施設状況(要更新)'!$F19</f>
        <v>啓明ともいき保育園</v>
      </c>
      <c r="X19" s="27">
        <v>15</v>
      </c>
      <c r="Y19" s="28" t="str">
        <f t="shared" si="4"/>
        <v>アスク桑園保育園</v>
      </c>
      <c r="Z19" s="29" t="str">
        <f t="shared" si="4"/>
        <v>スクルドエンジェル保育園新琴似園</v>
      </c>
      <c r="AA19" s="29" t="str">
        <f t="shared" si="4"/>
        <v>勤医協ぽぷら保育園</v>
      </c>
      <c r="AB19" s="29" t="str">
        <f t="shared" si="4"/>
        <v>ニチイキッズしろいし保育園</v>
      </c>
      <c r="AC19" s="29" t="str">
        <f t="shared" si="4"/>
        <v/>
      </c>
      <c r="AD19" s="29" t="str">
        <f t="shared" si="4"/>
        <v/>
      </c>
      <c r="AE19" s="29" t="str">
        <f t="shared" si="4"/>
        <v/>
      </c>
      <c r="AF19" s="29" t="str">
        <f t="shared" si="4"/>
        <v/>
      </c>
      <c r="AG19" s="29" t="str">
        <f t="shared" si="4"/>
        <v>札幌宮の沢雲母保育園</v>
      </c>
      <c r="AH19" s="29" t="str">
        <f t="shared" si="4"/>
        <v/>
      </c>
      <c r="AI19" s="29">
        <f t="shared" si="4"/>
        <v>0</v>
      </c>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30"/>
      <c r="CT19" s="30"/>
      <c r="CU19" s="30"/>
      <c r="CV19" s="30"/>
      <c r="CW19" s="30"/>
      <c r="CX19" s="30"/>
      <c r="CY19" s="30"/>
      <c r="CZ19" s="30"/>
      <c r="DA19" s="30"/>
      <c r="DB19" s="30"/>
      <c r="DC19" s="30"/>
      <c r="DD19" s="30"/>
      <c r="DE19" s="30"/>
      <c r="DF19" s="30"/>
      <c r="DG19" s="30"/>
      <c r="DH19" s="30"/>
      <c r="DI19" s="30"/>
      <c r="DJ19" s="31"/>
    </row>
    <row r="20" spans="1:114">
      <c r="A20" s="45">
        <v>100051</v>
      </c>
      <c r="B20" s="46" t="s">
        <v>277</v>
      </c>
      <c r="C20" s="46" t="s">
        <v>626</v>
      </c>
      <c r="D20" s="46" t="s">
        <v>1027</v>
      </c>
      <c r="E20" s="46" t="s">
        <v>278</v>
      </c>
      <c r="F20" s="46" t="s">
        <v>294</v>
      </c>
      <c r="G20" s="46"/>
      <c r="H20" s="46"/>
      <c r="I20" s="46"/>
      <c r="J20" s="46">
        <v>60</v>
      </c>
      <c r="K20" s="46">
        <v>0</v>
      </c>
      <c r="L20" s="46">
        <v>33</v>
      </c>
      <c r="M20" s="46">
        <v>6</v>
      </c>
      <c r="N20" s="46">
        <v>21</v>
      </c>
      <c r="O20" s="46">
        <f>SUM(テーブル1[[#This Row],[列11]:[列12]])</f>
        <v>27</v>
      </c>
      <c r="P20" s="46"/>
      <c r="Q20" s="46"/>
      <c r="R20" s="46">
        <f t="shared" si="1"/>
        <v>60</v>
      </c>
      <c r="S20" s="25">
        <f t="shared" si="2"/>
        <v>100051</v>
      </c>
      <c r="T20" s="25">
        <f>COUNTIF($V$4:V20,V20)</f>
        <v>17</v>
      </c>
      <c r="U20" s="25" t="str">
        <f>IF(T20=1,COUNTIF($T$4:T20,1),"")</f>
        <v/>
      </c>
      <c r="V20" s="26" t="str">
        <f>'施設状況(要更新)'!$E20&amp;'施設状況(要更新)'!$C20</f>
        <v>中央区01保育所</v>
      </c>
      <c r="W20" s="26" t="str">
        <f>'施設状況(要更新)'!$F20</f>
        <v>ちゃいれっく北７条西保育園</v>
      </c>
      <c r="X20" s="27">
        <v>16</v>
      </c>
      <c r="Y20" s="28" t="str">
        <f t="shared" si="4"/>
        <v>啓明ともいき保育園</v>
      </c>
      <c r="Z20" s="29" t="str">
        <f t="shared" si="4"/>
        <v>ニチイキッズさっぽろ保育園</v>
      </c>
      <c r="AA20" s="29" t="str">
        <f t="shared" si="4"/>
        <v>愛和新穂保育園</v>
      </c>
      <c r="AB20" s="29" t="str">
        <f t="shared" si="4"/>
        <v>南郷通たかだ保育園</v>
      </c>
      <c r="AC20" s="29" t="str">
        <f t="shared" si="4"/>
        <v/>
      </c>
      <c r="AD20" s="29" t="str">
        <f t="shared" si="4"/>
        <v/>
      </c>
      <c r="AE20" s="29" t="str">
        <f t="shared" si="4"/>
        <v/>
      </c>
      <c r="AF20" s="29" t="str">
        <f t="shared" si="4"/>
        <v/>
      </c>
      <c r="AG20" s="29" t="str">
        <f t="shared" si="4"/>
        <v>発寒もりのわ保育園</v>
      </c>
      <c r="AH20" s="29" t="str">
        <f t="shared" si="4"/>
        <v/>
      </c>
      <c r="AI20" s="29">
        <f t="shared" si="4"/>
        <v>0</v>
      </c>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30"/>
      <c r="CT20" s="30"/>
      <c r="CU20" s="30"/>
      <c r="CV20" s="30"/>
      <c r="CW20" s="30"/>
      <c r="CX20" s="30"/>
      <c r="CY20" s="30"/>
      <c r="CZ20" s="30"/>
      <c r="DA20" s="30"/>
      <c r="DB20" s="30"/>
      <c r="DC20" s="30"/>
      <c r="DD20" s="30"/>
      <c r="DE20" s="30"/>
      <c r="DF20" s="30"/>
      <c r="DG20" s="30"/>
      <c r="DH20" s="30"/>
      <c r="DI20" s="30"/>
      <c r="DJ20" s="31"/>
    </row>
    <row r="21" spans="1:114">
      <c r="A21" s="45">
        <v>100052</v>
      </c>
      <c r="B21" s="46" t="s">
        <v>277</v>
      </c>
      <c r="C21" s="46" t="s">
        <v>626</v>
      </c>
      <c r="D21" s="46" t="s">
        <v>1027</v>
      </c>
      <c r="E21" s="46" t="s">
        <v>278</v>
      </c>
      <c r="F21" s="46" t="s">
        <v>295</v>
      </c>
      <c r="G21" s="46"/>
      <c r="H21" s="46"/>
      <c r="I21" s="46"/>
      <c r="J21" s="46">
        <v>60</v>
      </c>
      <c r="K21" s="46">
        <v>0</v>
      </c>
      <c r="L21" s="46">
        <v>33</v>
      </c>
      <c r="M21" s="46">
        <v>6</v>
      </c>
      <c r="N21" s="46">
        <v>21</v>
      </c>
      <c r="O21" s="46">
        <f>SUM(テーブル1[[#This Row],[列11]:[列12]])</f>
        <v>27</v>
      </c>
      <c r="P21" s="46"/>
      <c r="Q21" s="46"/>
      <c r="R21" s="46">
        <f t="shared" si="1"/>
        <v>60</v>
      </c>
      <c r="S21" s="25">
        <f t="shared" si="2"/>
        <v>100052</v>
      </c>
      <c r="T21" s="25">
        <f>COUNTIF($V$4:V21,V21)</f>
        <v>18</v>
      </c>
      <c r="U21" s="25" t="str">
        <f>IF(T21=1,COUNTIF($T$4:T21,1),"")</f>
        <v/>
      </c>
      <c r="V21" s="26" t="str">
        <f>'施設状況(要更新)'!$E21&amp;'施設状況(要更新)'!$C21</f>
        <v>中央区01保育所</v>
      </c>
      <c r="W21" s="26" t="str">
        <f>'施設状況(要更新)'!$F21</f>
        <v>札幌時計台雲母保育園</v>
      </c>
      <c r="X21" s="27">
        <v>17</v>
      </c>
      <c r="Y21" s="28" t="str">
        <f t="shared" si="4"/>
        <v>ちゃいれっく北７条西保育園</v>
      </c>
      <c r="Z21" s="29" t="str">
        <f t="shared" si="4"/>
        <v>保育所おーるまいてぃ屯田園</v>
      </c>
      <c r="AA21" s="29" t="str">
        <f t="shared" si="4"/>
        <v>かりき保育園</v>
      </c>
      <c r="AB21" s="29" t="str">
        <f t="shared" si="4"/>
        <v>にこまるえん白石</v>
      </c>
      <c r="AC21" s="29" t="str">
        <f t="shared" si="4"/>
        <v/>
      </c>
      <c r="AD21" s="29" t="str">
        <f t="shared" si="4"/>
        <v/>
      </c>
      <c r="AE21" s="29" t="str">
        <f t="shared" si="4"/>
        <v/>
      </c>
      <c r="AF21" s="29" t="str">
        <f t="shared" si="4"/>
        <v/>
      </c>
      <c r="AG21" s="29" t="str">
        <f t="shared" si="4"/>
        <v>琴似にじのいろ保育園</v>
      </c>
      <c r="AH21" s="29" t="str">
        <f t="shared" si="4"/>
        <v/>
      </c>
      <c r="AI21" s="29">
        <f t="shared" si="4"/>
        <v>0</v>
      </c>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30"/>
      <c r="CT21" s="30"/>
      <c r="CU21" s="30"/>
      <c r="CV21" s="30"/>
      <c r="CW21" s="30"/>
      <c r="CX21" s="30"/>
      <c r="CY21" s="30"/>
      <c r="CZ21" s="30"/>
      <c r="DA21" s="30"/>
      <c r="DB21" s="30"/>
      <c r="DC21" s="30"/>
      <c r="DD21" s="30"/>
      <c r="DE21" s="30"/>
      <c r="DF21" s="30"/>
      <c r="DG21" s="30"/>
      <c r="DH21" s="30"/>
      <c r="DI21" s="30"/>
      <c r="DJ21" s="31"/>
    </row>
    <row r="22" spans="1:114">
      <c r="A22" s="45">
        <v>100065</v>
      </c>
      <c r="B22" s="46" t="s">
        <v>277</v>
      </c>
      <c r="C22" s="46" t="s">
        <v>626</v>
      </c>
      <c r="D22" s="46" t="s">
        <v>1027</v>
      </c>
      <c r="E22" s="46" t="s">
        <v>278</v>
      </c>
      <c r="F22" s="46" t="s">
        <v>296</v>
      </c>
      <c r="G22" s="46"/>
      <c r="H22" s="46"/>
      <c r="I22" s="46"/>
      <c r="J22" s="46">
        <v>40</v>
      </c>
      <c r="K22" s="46">
        <v>0</v>
      </c>
      <c r="L22" s="46">
        <v>22</v>
      </c>
      <c r="M22" s="46">
        <v>4</v>
      </c>
      <c r="N22" s="46">
        <v>14</v>
      </c>
      <c r="O22" s="46">
        <f>SUM(テーブル1[[#This Row],[列11]:[列12]])</f>
        <v>18</v>
      </c>
      <c r="P22" s="46"/>
      <c r="Q22" s="46"/>
      <c r="R22" s="46">
        <f t="shared" si="1"/>
        <v>40</v>
      </c>
      <c r="S22" s="25">
        <f t="shared" si="2"/>
        <v>100065</v>
      </c>
      <c r="T22" s="25">
        <f>COUNTIF($V$4:V22,V22)</f>
        <v>19</v>
      </c>
      <c r="U22" s="25" t="str">
        <f>IF(T22=1,COUNTIF($T$4:T22,1),"")</f>
        <v/>
      </c>
      <c r="V22" s="26" t="str">
        <f>'施設状況(要更新)'!$E22&amp;'施設状況(要更新)'!$C22</f>
        <v>中央区01保育所</v>
      </c>
      <c r="W22" s="26" t="str">
        <f>'施設状況(要更新)'!$F22</f>
        <v>ニチイキッズ大通西１８丁目保育園</v>
      </c>
      <c r="X22" s="27">
        <v>18</v>
      </c>
      <c r="Y22" s="28" t="str">
        <f t="shared" si="4"/>
        <v>札幌時計台雲母保育園</v>
      </c>
      <c r="Z22" s="29" t="str">
        <f t="shared" si="4"/>
        <v>あいの里第２協働保育園</v>
      </c>
      <c r="AA22" s="29" t="str">
        <f t="shared" si="4"/>
        <v>アートチャイルドケア札幌元町</v>
      </c>
      <c r="AB22" s="29" t="str">
        <f t="shared" si="4"/>
        <v/>
      </c>
      <c r="AC22" s="29" t="str">
        <f t="shared" si="4"/>
        <v/>
      </c>
      <c r="AD22" s="29" t="str">
        <f t="shared" si="4"/>
        <v/>
      </c>
      <c r="AE22" s="29" t="str">
        <f t="shared" si="4"/>
        <v/>
      </c>
      <c r="AF22" s="29" t="str">
        <f t="shared" si="4"/>
        <v/>
      </c>
      <c r="AG22" s="29" t="str">
        <f t="shared" si="4"/>
        <v>ピッコロ子ども倶楽部発寒南駅前園</v>
      </c>
      <c r="AH22" s="29" t="str">
        <f t="shared" si="4"/>
        <v/>
      </c>
      <c r="AI22" s="29">
        <f t="shared" si="4"/>
        <v>0</v>
      </c>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c r="CS22" s="30"/>
      <c r="CT22" s="30"/>
      <c r="CU22" s="30"/>
      <c r="CV22" s="30"/>
      <c r="CW22" s="30"/>
      <c r="CX22" s="30"/>
      <c r="CY22" s="30"/>
      <c r="CZ22" s="30"/>
      <c r="DA22" s="30"/>
      <c r="DB22" s="30"/>
      <c r="DC22" s="30"/>
      <c r="DD22" s="30"/>
      <c r="DE22" s="30"/>
      <c r="DF22" s="30"/>
      <c r="DG22" s="30"/>
      <c r="DH22" s="30"/>
      <c r="DI22" s="30"/>
      <c r="DJ22" s="31"/>
    </row>
    <row r="23" spans="1:114">
      <c r="A23" s="45">
        <v>100066</v>
      </c>
      <c r="B23" s="46" t="s">
        <v>277</v>
      </c>
      <c r="C23" s="46" t="s">
        <v>626</v>
      </c>
      <c r="D23" s="46" t="s">
        <v>1027</v>
      </c>
      <c r="E23" s="46" t="s">
        <v>278</v>
      </c>
      <c r="F23" s="46" t="s">
        <v>1028</v>
      </c>
      <c r="G23" s="46"/>
      <c r="H23" s="46"/>
      <c r="I23" s="46"/>
      <c r="J23" s="46">
        <v>40</v>
      </c>
      <c r="K23" s="46">
        <v>0</v>
      </c>
      <c r="L23" s="46">
        <v>22</v>
      </c>
      <c r="M23" s="46">
        <v>4</v>
      </c>
      <c r="N23" s="46">
        <v>14</v>
      </c>
      <c r="O23" s="46">
        <f>SUM(テーブル1[[#This Row],[列11]:[列12]])</f>
        <v>18</v>
      </c>
      <c r="P23" s="46"/>
      <c r="Q23" s="46"/>
      <c r="R23" s="46">
        <f t="shared" si="1"/>
        <v>40</v>
      </c>
      <c r="S23" s="25">
        <f t="shared" si="2"/>
        <v>100066</v>
      </c>
      <c r="T23" s="25">
        <f>COUNTIF($V$4:V23,V23)</f>
        <v>20</v>
      </c>
      <c r="U23" s="25" t="str">
        <f>IF(T23=1,COUNTIF($T$4:T23,1),"")</f>
        <v/>
      </c>
      <c r="V23" s="26" t="str">
        <f>'施設状況(要更新)'!$E23&amp;'施設状況(要更新)'!$C23</f>
        <v>中央区01保育所</v>
      </c>
      <c r="W23" s="26" t="str">
        <f>'施設状況(要更新)'!$F23</f>
        <v>ピッコロ子ども倶楽部円山園</v>
      </c>
      <c r="X23" s="27">
        <v>19</v>
      </c>
      <c r="Y23" s="28" t="str">
        <f t="shared" si="4"/>
        <v>ニチイキッズ大通西１８丁目保育園</v>
      </c>
      <c r="Z23" s="29" t="str">
        <f t="shared" si="4"/>
        <v>ピッコロ子ども倶楽部北大前保育所</v>
      </c>
      <c r="AA23" s="29" t="str">
        <f t="shared" si="4"/>
        <v>札幌麻生雲母保育園</v>
      </c>
      <c r="AB23" s="29" t="str">
        <f t="shared" si="4"/>
        <v/>
      </c>
      <c r="AC23" s="29" t="str">
        <f t="shared" si="4"/>
        <v/>
      </c>
      <c r="AD23" s="29" t="str">
        <f t="shared" si="4"/>
        <v/>
      </c>
      <c r="AE23" s="29" t="str">
        <f t="shared" si="4"/>
        <v/>
      </c>
      <c r="AF23" s="29" t="str">
        <f t="shared" si="4"/>
        <v/>
      </c>
      <c r="AG23" s="29" t="str">
        <f t="shared" si="4"/>
        <v>山の手にじのいろ保育園</v>
      </c>
      <c r="AH23" s="29" t="str">
        <f t="shared" si="4"/>
        <v/>
      </c>
      <c r="AI23" s="29">
        <f t="shared" si="4"/>
        <v>0</v>
      </c>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9"/>
      <c r="BX23" s="29"/>
      <c r="BY23" s="29"/>
      <c r="BZ23" s="29"/>
      <c r="CA23" s="29"/>
      <c r="CB23" s="29"/>
      <c r="CC23" s="29"/>
      <c r="CD23" s="29"/>
      <c r="CE23" s="29"/>
      <c r="CF23" s="29"/>
      <c r="CG23" s="29"/>
      <c r="CH23" s="29"/>
      <c r="CI23" s="29"/>
      <c r="CJ23" s="29"/>
      <c r="CK23" s="29"/>
      <c r="CL23" s="29"/>
      <c r="CM23" s="29"/>
      <c r="CN23" s="29"/>
      <c r="CO23" s="29"/>
      <c r="CP23" s="29"/>
      <c r="CQ23" s="29"/>
      <c r="CR23" s="29"/>
      <c r="CS23" s="30"/>
      <c r="CT23" s="30"/>
      <c r="CU23" s="30"/>
      <c r="CV23" s="30"/>
      <c r="CW23" s="30"/>
      <c r="CX23" s="30"/>
      <c r="CY23" s="30"/>
      <c r="CZ23" s="30"/>
      <c r="DA23" s="30"/>
      <c r="DB23" s="30"/>
      <c r="DC23" s="30"/>
      <c r="DD23" s="30"/>
      <c r="DE23" s="30"/>
      <c r="DF23" s="30"/>
      <c r="DG23" s="30"/>
      <c r="DH23" s="30"/>
      <c r="DI23" s="30"/>
      <c r="DJ23" s="31"/>
    </row>
    <row r="24" spans="1:114">
      <c r="A24" s="45">
        <v>100067</v>
      </c>
      <c r="B24" s="46" t="s">
        <v>277</v>
      </c>
      <c r="C24" s="46" t="s">
        <v>626</v>
      </c>
      <c r="D24" s="46" t="s">
        <v>1027</v>
      </c>
      <c r="E24" s="46" t="s">
        <v>278</v>
      </c>
      <c r="F24" s="46" t="s">
        <v>297</v>
      </c>
      <c r="G24" s="46"/>
      <c r="H24" s="46"/>
      <c r="I24" s="46"/>
      <c r="J24" s="46">
        <v>40</v>
      </c>
      <c r="K24" s="46">
        <v>0</v>
      </c>
      <c r="L24" s="46">
        <v>24</v>
      </c>
      <c r="M24" s="46">
        <v>4</v>
      </c>
      <c r="N24" s="46">
        <v>12</v>
      </c>
      <c r="O24" s="46">
        <f>SUM(テーブル1[[#This Row],[列11]:[列12]])</f>
        <v>16</v>
      </c>
      <c r="P24" s="46"/>
      <c r="Q24" s="46"/>
      <c r="R24" s="46">
        <f t="shared" si="1"/>
        <v>40</v>
      </c>
      <c r="S24" s="25">
        <f t="shared" si="2"/>
        <v>100067</v>
      </c>
      <c r="T24" s="25">
        <f>COUNTIF($V$4:V24,V24)</f>
        <v>21</v>
      </c>
      <c r="U24" s="25" t="str">
        <f>IF(T24=1,COUNTIF($T$4:T24,1),"")</f>
        <v/>
      </c>
      <c r="V24" s="26" t="str">
        <f>'施設状況(要更新)'!$E24&amp;'施設状況(要更新)'!$C24</f>
        <v>中央区01保育所</v>
      </c>
      <c r="W24" s="26" t="str">
        <f>'施設状況(要更新)'!$F24</f>
        <v>こどもプラザ青い鳥</v>
      </c>
      <c r="X24" s="27">
        <v>20</v>
      </c>
      <c r="Y24" s="28" t="str">
        <f t="shared" si="4"/>
        <v>ピッコロ子ども倶楽部円山園</v>
      </c>
      <c r="Z24" s="29" t="str">
        <f t="shared" si="4"/>
        <v>新川ひまわり保育園</v>
      </c>
      <c r="AA24" s="29" t="str">
        <f t="shared" si="4"/>
        <v>もえれ保育園</v>
      </c>
      <c r="AB24" s="29" t="str">
        <f t="shared" si="4"/>
        <v/>
      </c>
      <c r="AC24" s="29" t="str">
        <f t="shared" si="4"/>
        <v/>
      </c>
      <c r="AD24" s="29" t="str">
        <f t="shared" si="4"/>
        <v/>
      </c>
      <c r="AE24" s="29" t="str">
        <f t="shared" si="4"/>
        <v/>
      </c>
      <c r="AF24" s="29" t="str">
        <f t="shared" si="4"/>
        <v/>
      </c>
      <c r="AG24" s="29" t="str">
        <f t="shared" si="4"/>
        <v>山の手あすみ保育園</v>
      </c>
      <c r="AH24" s="29" t="str">
        <f t="shared" si="4"/>
        <v/>
      </c>
      <c r="AI24" s="29">
        <f t="shared" si="4"/>
        <v>0</v>
      </c>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c r="CS24" s="30"/>
      <c r="CT24" s="30"/>
      <c r="CU24" s="30"/>
      <c r="CV24" s="30"/>
      <c r="CW24" s="30"/>
      <c r="CX24" s="30"/>
      <c r="CY24" s="30"/>
      <c r="CZ24" s="30"/>
      <c r="DA24" s="30"/>
      <c r="DB24" s="30"/>
      <c r="DC24" s="30"/>
      <c r="DD24" s="30"/>
      <c r="DE24" s="30"/>
      <c r="DF24" s="30"/>
      <c r="DG24" s="30"/>
      <c r="DH24" s="30"/>
      <c r="DI24" s="30"/>
      <c r="DJ24" s="31"/>
    </row>
    <row r="25" spans="1:114">
      <c r="A25" s="45">
        <v>100068</v>
      </c>
      <c r="B25" s="46" t="s">
        <v>277</v>
      </c>
      <c r="C25" s="46" t="s">
        <v>626</v>
      </c>
      <c r="D25" s="46" t="s">
        <v>1027</v>
      </c>
      <c r="E25" s="46" t="s">
        <v>278</v>
      </c>
      <c r="F25" s="46" t="s">
        <v>1029</v>
      </c>
      <c r="G25" s="46"/>
      <c r="H25" s="46"/>
      <c r="I25" s="46"/>
      <c r="J25" s="46">
        <v>60</v>
      </c>
      <c r="K25" s="46">
        <v>0</v>
      </c>
      <c r="L25" s="46">
        <v>37</v>
      </c>
      <c r="M25" s="46">
        <v>3</v>
      </c>
      <c r="N25" s="46">
        <v>20</v>
      </c>
      <c r="O25" s="46">
        <f>SUM(テーブル1[[#This Row],[列11]:[列12]])</f>
        <v>23</v>
      </c>
      <c r="P25" s="46"/>
      <c r="Q25" s="46"/>
      <c r="R25" s="46">
        <f t="shared" si="1"/>
        <v>60</v>
      </c>
      <c r="S25" s="25">
        <f t="shared" si="2"/>
        <v>100068</v>
      </c>
      <c r="T25" s="25">
        <f>COUNTIF($V$4:V25,V25)</f>
        <v>22</v>
      </c>
      <c r="U25" s="25" t="str">
        <f>IF(T25=1,COUNTIF($T$4:T25,1),"")</f>
        <v/>
      </c>
      <c r="V25" s="26" t="str">
        <f>'施設状況(要更新)'!$E25&amp;'施設状況(要更新)'!$C25</f>
        <v>中央区01保育所</v>
      </c>
      <c r="W25" s="26" t="str">
        <f>'施設状況(要更新)'!$F25</f>
        <v>札幌ハイジ保育園苗穂保育ルーム</v>
      </c>
      <c r="X25" s="27">
        <v>21</v>
      </c>
      <c r="Y25" s="28" t="str">
        <f t="shared" ref="Y25:AI34" si="5">IFERROR(INDEX($T$4:$W$678,MATCH($X25&amp;Y$3,INDEX($T$4:$T$678&amp;$V$4:$V$678,),0),MATCH("施設名",$T$3:$W$3,0)),"")</f>
        <v>こどもプラザ青い鳥</v>
      </c>
      <c r="Z25" s="29" t="str">
        <f t="shared" si="5"/>
        <v>新陽保育園</v>
      </c>
      <c r="AA25" s="29" t="str">
        <f t="shared" si="5"/>
        <v>まことさつなえ保育園</v>
      </c>
      <c r="AB25" s="29" t="str">
        <f t="shared" si="5"/>
        <v/>
      </c>
      <c r="AC25" s="29" t="str">
        <f t="shared" si="5"/>
        <v/>
      </c>
      <c r="AD25" s="29" t="str">
        <f t="shared" si="5"/>
        <v/>
      </c>
      <c r="AE25" s="29" t="str">
        <f t="shared" si="5"/>
        <v/>
      </c>
      <c r="AF25" s="29" t="str">
        <f t="shared" si="5"/>
        <v/>
      </c>
      <c r="AG25" s="29" t="str">
        <f t="shared" si="5"/>
        <v>平和あすみ保育園</v>
      </c>
      <c r="AH25" s="29" t="str">
        <f t="shared" si="5"/>
        <v/>
      </c>
      <c r="AI25" s="29">
        <f t="shared" si="5"/>
        <v>0</v>
      </c>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29"/>
      <c r="CQ25" s="29"/>
      <c r="CR25" s="29"/>
      <c r="CS25" s="30"/>
      <c r="CT25" s="30"/>
      <c r="CU25" s="30"/>
      <c r="CV25" s="30"/>
      <c r="CW25" s="30"/>
      <c r="CX25" s="30"/>
      <c r="CY25" s="30"/>
      <c r="CZ25" s="30"/>
      <c r="DA25" s="30"/>
      <c r="DB25" s="30"/>
      <c r="DC25" s="30"/>
      <c r="DD25" s="30"/>
      <c r="DE25" s="30"/>
      <c r="DF25" s="30"/>
      <c r="DG25" s="30"/>
      <c r="DH25" s="30"/>
      <c r="DI25" s="30"/>
      <c r="DJ25" s="31"/>
    </row>
    <row r="26" spans="1:114">
      <c r="A26" s="45">
        <v>100074</v>
      </c>
      <c r="B26" s="46" t="s">
        <v>277</v>
      </c>
      <c r="C26" s="46" t="s">
        <v>626</v>
      </c>
      <c r="D26" s="46" t="s">
        <v>1027</v>
      </c>
      <c r="E26" s="46" t="s">
        <v>278</v>
      </c>
      <c r="F26" s="46" t="s">
        <v>1030</v>
      </c>
      <c r="G26" s="46"/>
      <c r="H26" s="46"/>
      <c r="I26" s="46"/>
      <c r="J26" s="46">
        <v>60</v>
      </c>
      <c r="K26" s="46">
        <v>0</v>
      </c>
      <c r="L26" s="46">
        <v>33</v>
      </c>
      <c r="M26" s="46">
        <v>6</v>
      </c>
      <c r="N26" s="46">
        <v>21</v>
      </c>
      <c r="O26" s="46">
        <f>SUM(テーブル1[[#This Row],[列11]:[列12]])</f>
        <v>27</v>
      </c>
      <c r="P26" s="46"/>
      <c r="Q26" s="46"/>
      <c r="R26" s="46">
        <f t="shared" si="1"/>
        <v>60</v>
      </c>
      <c r="S26" s="25">
        <f t="shared" si="2"/>
        <v>100074</v>
      </c>
      <c r="T26" s="25">
        <f>COUNTIF($V$4:V26,V26)</f>
        <v>23</v>
      </c>
      <c r="U26" s="25" t="str">
        <f>IF(T26=1,COUNTIF($T$4:T26,1),"")</f>
        <v/>
      </c>
      <c r="V26" s="26" t="str">
        <f>'施設状況(要更新)'!$E26&amp;'施設状況(要更新)'!$C26</f>
        <v>中央区01保育所</v>
      </c>
      <c r="W26" s="26" t="str">
        <f>'施設状況(要更新)'!$F26</f>
        <v>太陽の子札幌中央保育園</v>
      </c>
      <c r="X26" s="27">
        <v>22</v>
      </c>
      <c r="Y26" s="28" t="str">
        <f t="shared" si="5"/>
        <v>札幌ハイジ保育園苗穂保育ルーム</v>
      </c>
      <c r="Z26" s="29" t="str">
        <f t="shared" si="5"/>
        <v>札幌北はぐはぐ保育園</v>
      </c>
      <c r="AA26" s="29" t="str">
        <f t="shared" si="5"/>
        <v>まことさっぽろ保育園</v>
      </c>
      <c r="AB26" s="29" t="str">
        <f t="shared" si="5"/>
        <v/>
      </c>
      <c r="AC26" s="29" t="str">
        <f t="shared" si="5"/>
        <v/>
      </c>
      <c r="AD26" s="29" t="str">
        <f t="shared" si="5"/>
        <v/>
      </c>
      <c r="AE26" s="29" t="str">
        <f t="shared" si="5"/>
        <v/>
      </c>
      <c r="AF26" s="29" t="str">
        <f t="shared" si="5"/>
        <v/>
      </c>
      <c r="AG26" s="29" t="str">
        <f t="shared" si="5"/>
        <v>平和にじのいろ保育園</v>
      </c>
      <c r="AH26" s="29" t="str">
        <f t="shared" si="5"/>
        <v/>
      </c>
      <c r="AI26" s="29">
        <f t="shared" si="5"/>
        <v>0</v>
      </c>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c r="CS26" s="30"/>
      <c r="CT26" s="30"/>
      <c r="CU26" s="30"/>
      <c r="CV26" s="30"/>
      <c r="CW26" s="30"/>
      <c r="CX26" s="30"/>
      <c r="CY26" s="30"/>
      <c r="CZ26" s="30"/>
      <c r="DA26" s="30"/>
      <c r="DB26" s="30"/>
      <c r="DC26" s="30"/>
      <c r="DD26" s="30"/>
      <c r="DE26" s="30"/>
      <c r="DF26" s="30"/>
      <c r="DG26" s="30"/>
      <c r="DH26" s="30"/>
      <c r="DI26" s="30"/>
      <c r="DJ26" s="31"/>
    </row>
    <row r="27" spans="1:114">
      <c r="A27" s="45">
        <v>100084</v>
      </c>
      <c r="B27" s="46" t="s">
        <v>277</v>
      </c>
      <c r="C27" s="46" t="s">
        <v>626</v>
      </c>
      <c r="D27" s="46" t="s">
        <v>1027</v>
      </c>
      <c r="E27" s="46" t="s">
        <v>278</v>
      </c>
      <c r="F27" s="46" t="s">
        <v>1031</v>
      </c>
      <c r="G27" s="46"/>
      <c r="H27" s="46"/>
      <c r="I27" s="46"/>
      <c r="J27" s="46">
        <v>60</v>
      </c>
      <c r="K27" s="46">
        <v>0</v>
      </c>
      <c r="L27" s="46">
        <v>33</v>
      </c>
      <c r="M27" s="46">
        <v>5</v>
      </c>
      <c r="N27" s="46">
        <v>22</v>
      </c>
      <c r="O27" s="46">
        <f>SUM(テーブル1[[#This Row],[列11]:[列12]])</f>
        <v>27</v>
      </c>
      <c r="P27" s="46"/>
      <c r="Q27" s="46"/>
      <c r="R27" s="46">
        <f t="shared" si="1"/>
        <v>60</v>
      </c>
      <c r="S27" s="25">
        <f t="shared" si="2"/>
        <v>100084</v>
      </c>
      <c r="T27" s="25">
        <f>COUNTIF($V$4:V27,V27)</f>
        <v>24</v>
      </c>
      <c r="U27" s="25" t="str">
        <f>IF(T27=1,COUNTIF($T$4:T27,1),"")</f>
        <v/>
      </c>
      <c r="V27" s="26" t="str">
        <f>'施設状況(要更新)'!$E27&amp;'施設状況(要更新)'!$C27</f>
        <v>中央区01保育所</v>
      </c>
      <c r="W27" s="26" t="str">
        <f>'施設状況(要更新)'!$F27</f>
        <v>アートチャイルドケア札幌山鼻</v>
      </c>
      <c r="X27" s="27">
        <v>23</v>
      </c>
      <c r="Y27" s="28" t="str">
        <f t="shared" si="5"/>
        <v>太陽の子札幌中央保育園</v>
      </c>
      <c r="Z27" s="29" t="str">
        <f t="shared" si="5"/>
        <v>アイグラン保育園北陽</v>
      </c>
      <c r="AA27" s="29" t="str">
        <f t="shared" si="5"/>
        <v>栄南保育園</v>
      </c>
      <c r="AB27" s="29" t="str">
        <f t="shared" si="5"/>
        <v/>
      </c>
      <c r="AC27" s="29" t="str">
        <f t="shared" si="5"/>
        <v/>
      </c>
      <c r="AD27" s="29" t="str">
        <f t="shared" si="5"/>
        <v/>
      </c>
      <c r="AE27" s="29" t="str">
        <f t="shared" si="5"/>
        <v/>
      </c>
      <c r="AF27" s="29" t="str">
        <f t="shared" si="5"/>
        <v/>
      </c>
      <c r="AG27" s="29" t="str">
        <f t="shared" si="5"/>
        <v>ちゅうわ発寒保育園</v>
      </c>
      <c r="AH27" s="29" t="str">
        <f t="shared" si="5"/>
        <v/>
      </c>
      <c r="AI27" s="29">
        <f t="shared" si="5"/>
        <v>0</v>
      </c>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c r="CD27" s="29"/>
      <c r="CE27" s="29"/>
      <c r="CF27" s="29"/>
      <c r="CG27" s="29"/>
      <c r="CH27" s="29"/>
      <c r="CI27" s="29"/>
      <c r="CJ27" s="29"/>
      <c r="CK27" s="29"/>
      <c r="CL27" s="29"/>
      <c r="CM27" s="29"/>
      <c r="CN27" s="29"/>
      <c r="CO27" s="29"/>
      <c r="CP27" s="29"/>
      <c r="CQ27" s="29"/>
      <c r="CR27" s="29"/>
      <c r="CS27" s="30"/>
      <c r="CT27" s="30"/>
      <c r="CU27" s="30"/>
      <c r="CV27" s="30"/>
      <c r="CW27" s="30"/>
      <c r="CX27" s="30"/>
      <c r="CY27" s="30"/>
      <c r="CZ27" s="30"/>
      <c r="DA27" s="30"/>
      <c r="DB27" s="30"/>
      <c r="DC27" s="30"/>
      <c r="DD27" s="30"/>
      <c r="DE27" s="30"/>
      <c r="DF27" s="30"/>
      <c r="DG27" s="30"/>
      <c r="DH27" s="30"/>
      <c r="DI27" s="30"/>
      <c r="DJ27" s="31"/>
    </row>
    <row r="28" spans="1:114">
      <c r="A28" s="45">
        <v>100087</v>
      </c>
      <c r="B28" s="46" t="s">
        <v>277</v>
      </c>
      <c r="C28" s="46" t="s">
        <v>626</v>
      </c>
      <c r="D28" s="46" t="s">
        <v>1027</v>
      </c>
      <c r="E28" s="46" t="s">
        <v>278</v>
      </c>
      <c r="F28" s="46" t="s">
        <v>1032</v>
      </c>
      <c r="G28" s="46"/>
      <c r="H28" s="46"/>
      <c r="I28" s="46"/>
      <c r="J28" s="46">
        <v>60</v>
      </c>
      <c r="K28" s="46">
        <v>0</v>
      </c>
      <c r="L28" s="46">
        <v>33</v>
      </c>
      <c r="M28" s="46">
        <v>6</v>
      </c>
      <c r="N28" s="46">
        <v>21</v>
      </c>
      <c r="O28" s="46">
        <f>SUM(テーブル1[[#This Row],[列11]:[列12]])</f>
        <v>27</v>
      </c>
      <c r="P28" s="46"/>
      <c r="Q28" s="46"/>
      <c r="R28" s="46">
        <f t="shared" si="1"/>
        <v>60</v>
      </c>
      <c r="S28" s="25">
        <f t="shared" si="2"/>
        <v>100087</v>
      </c>
      <c r="T28" s="25">
        <f>COUNTIF($V$4:V28,V28)</f>
        <v>25</v>
      </c>
      <c r="U28" s="25" t="str">
        <f>IF(T28=1,COUNTIF($T$4:T28,1),"")</f>
        <v/>
      </c>
      <c r="V28" s="26" t="str">
        <f>'施設状況(要更新)'!$E28&amp;'施設状況(要更新)'!$C28</f>
        <v>中央区01保育所</v>
      </c>
      <c r="W28" s="26" t="str">
        <f>'施設状況(要更新)'!$F28</f>
        <v>札幌円山公園雲母保育園</v>
      </c>
      <c r="X28" s="27">
        <v>24</v>
      </c>
      <c r="Y28" s="28" t="str">
        <f t="shared" si="5"/>
        <v>アートチャイルドケア札幌山鼻</v>
      </c>
      <c r="Z28" s="29" t="str">
        <f t="shared" si="5"/>
        <v>Ｓ．Ｔ．ナーサリーＳＣＨＯＯＬ新川西</v>
      </c>
      <c r="AA28" s="29" t="str">
        <f t="shared" si="5"/>
        <v/>
      </c>
      <c r="AB28" s="29" t="str">
        <f t="shared" si="5"/>
        <v/>
      </c>
      <c r="AC28" s="29" t="str">
        <f t="shared" si="5"/>
        <v/>
      </c>
      <c r="AD28" s="29" t="str">
        <f t="shared" si="5"/>
        <v/>
      </c>
      <c r="AE28" s="29" t="str">
        <f t="shared" si="5"/>
        <v/>
      </c>
      <c r="AF28" s="29" t="str">
        <f t="shared" si="5"/>
        <v/>
      </c>
      <c r="AG28" s="29" t="str">
        <f t="shared" si="5"/>
        <v>ピッコロ子ども倶楽部
福井保育園</v>
      </c>
      <c r="AH28" s="29" t="str">
        <f t="shared" si="5"/>
        <v/>
      </c>
      <c r="AI28" s="29">
        <f t="shared" si="5"/>
        <v>0</v>
      </c>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30"/>
      <c r="CT28" s="30"/>
      <c r="CU28" s="30"/>
      <c r="CV28" s="30"/>
      <c r="CW28" s="30"/>
      <c r="CX28" s="30"/>
      <c r="CY28" s="30"/>
      <c r="CZ28" s="30"/>
      <c r="DA28" s="30"/>
      <c r="DB28" s="30"/>
      <c r="DC28" s="30"/>
      <c r="DD28" s="30"/>
      <c r="DE28" s="30"/>
      <c r="DF28" s="30"/>
      <c r="DG28" s="30"/>
      <c r="DH28" s="30"/>
      <c r="DI28" s="30"/>
      <c r="DJ28" s="31"/>
    </row>
    <row r="29" spans="1:114">
      <c r="A29" s="45">
        <v>100088</v>
      </c>
      <c r="B29" s="46" t="s">
        <v>277</v>
      </c>
      <c r="C29" s="46" t="s">
        <v>626</v>
      </c>
      <c r="D29" s="46" t="s">
        <v>1027</v>
      </c>
      <c r="E29" s="46" t="s">
        <v>278</v>
      </c>
      <c r="F29" s="46" t="s">
        <v>1033</v>
      </c>
      <c r="G29" s="46"/>
      <c r="H29" s="46"/>
      <c r="I29" s="46"/>
      <c r="J29" s="46">
        <v>40</v>
      </c>
      <c r="K29" s="46">
        <v>0</v>
      </c>
      <c r="L29" s="46">
        <v>21</v>
      </c>
      <c r="M29" s="46">
        <v>5</v>
      </c>
      <c r="N29" s="46">
        <v>14</v>
      </c>
      <c r="O29" s="46">
        <f>SUM(テーブル1[[#This Row],[列11]:[列12]])</f>
        <v>19</v>
      </c>
      <c r="P29" s="46"/>
      <c r="Q29" s="46"/>
      <c r="R29" s="46">
        <f t="shared" si="1"/>
        <v>40</v>
      </c>
      <c r="S29" s="25">
        <f t="shared" si="2"/>
        <v>100088</v>
      </c>
      <c r="T29" s="25">
        <f>COUNTIF($V$4:V29,V29)</f>
        <v>26</v>
      </c>
      <c r="U29" s="25" t="str">
        <f>IF(T29=1,COUNTIF($T$4:T29,1),"")</f>
        <v/>
      </c>
      <c r="V29" s="26" t="str">
        <f>'施設状況(要更新)'!$E29&amp;'施設状況(要更新)'!$C29</f>
        <v>中央区01保育所</v>
      </c>
      <c r="W29" s="26" t="str">
        <f>'施設状況(要更新)'!$F29</f>
        <v>札幌こども保育園</v>
      </c>
      <c r="X29" s="27">
        <v>25</v>
      </c>
      <c r="Y29" s="28" t="str">
        <f t="shared" si="5"/>
        <v>札幌円山公園雲母保育園</v>
      </c>
      <c r="Z29" s="29" t="str">
        <f t="shared" si="5"/>
        <v>アイグラン保育園拓北</v>
      </c>
      <c r="AA29" s="29" t="str">
        <f t="shared" si="5"/>
        <v/>
      </c>
      <c r="AB29" s="29" t="str">
        <f t="shared" si="5"/>
        <v/>
      </c>
      <c r="AC29" s="29" t="str">
        <f t="shared" si="5"/>
        <v/>
      </c>
      <c r="AD29" s="29" t="str">
        <f t="shared" si="5"/>
        <v/>
      </c>
      <c r="AE29" s="29" t="str">
        <f t="shared" si="5"/>
        <v/>
      </c>
      <c r="AF29" s="29" t="str">
        <f t="shared" si="5"/>
        <v/>
      </c>
      <c r="AG29" s="29" t="str">
        <f t="shared" si="5"/>
        <v>ラブクローバーの保育園札幌西野</v>
      </c>
      <c r="AH29" s="29" t="str">
        <f t="shared" si="5"/>
        <v/>
      </c>
      <c r="AI29" s="29">
        <f t="shared" si="5"/>
        <v>0</v>
      </c>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30"/>
      <c r="CT29" s="30"/>
      <c r="CU29" s="30"/>
      <c r="CV29" s="30"/>
      <c r="CW29" s="30"/>
      <c r="CX29" s="30"/>
      <c r="CY29" s="30"/>
      <c r="CZ29" s="30"/>
      <c r="DA29" s="30"/>
      <c r="DB29" s="30"/>
      <c r="DC29" s="30"/>
      <c r="DD29" s="30"/>
      <c r="DE29" s="30"/>
      <c r="DF29" s="30"/>
      <c r="DG29" s="30"/>
      <c r="DH29" s="30"/>
      <c r="DI29" s="30"/>
      <c r="DJ29" s="31"/>
    </row>
    <row r="30" spans="1:114">
      <c r="A30" s="45">
        <v>100094</v>
      </c>
      <c r="B30" s="46" t="s">
        <v>277</v>
      </c>
      <c r="C30" s="46" t="s">
        <v>626</v>
      </c>
      <c r="D30" s="46" t="s">
        <v>1027</v>
      </c>
      <c r="E30" s="46" t="s">
        <v>278</v>
      </c>
      <c r="F30" s="46" t="s">
        <v>1034</v>
      </c>
      <c r="G30" s="46"/>
      <c r="H30" s="46"/>
      <c r="I30" s="46"/>
      <c r="J30" s="46">
        <v>50</v>
      </c>
      <c r="K30" s="46">
        <v>0</v>
      </c>
      <c r="L30" s="46">
        <v>27</v>
      </c>
      <c r="M30" s="46">
        <v>5</v>
      </c>
      <c r="N30" s="46">
        <v>18</v>
      </c>
      <c r="O30" s="46">
        <f>SUM(テーブル1[[#This Row],[列11]:[列12]])</f>
        <v>23</v>
      </c>
      <c r="P30" s="46"/>
      <c r="Q30" s="46"/>
      <c r="R30" s="46">
        <f t="shared" si="1"/>
        <v>50</v>
      </c>
      <c r="S30" s="25">
        <f t="shared" si="2"/>
        <v>100094</v>
      </c>
      <c r="T30" s="25">
        <f>COUNTIF($V$4:V30,V30)</f>
        <v>27</v>
      </c>
      <c r="U30" s="25" t="str">
        <f>IF(T30=1,COUNTIF($T$4:T30,1),"")</f>
        <v/>
      </c>
      <c r="V30" s="26" t="str">
        <f>'施設状況(要更新)'!$E30&amp;'施設状況(要更新)'!$C30</f>
        <v>中央区01保育所</v>
      </c>
      <c r="W30" s="26" t="str">
        <f>'施設状況(要更新)'!$F30</f>
        <v>ニチイキッズ南まるやま保育園</v>
      </c>
      <c r="X30" s="27">
        <v>26</v>
      </c>
      <c r="Y30" s="28" t="str">
        <f t="shared" si="5"/>
        <v>札幌こども保育園</v>
      </c>
      <c r="Z30" s="29" t="str">
        <f t="shared" si="5"/>
        <v>元気っ子保育園・屯田南</v>
      </c>
      <c r="AA30" s="29" t="str">
        <f t="shared" si="5"/>
        <v/>
      </c>
      <c r="AB30" s="29" t="str">
        <f t="shared" si="5"/>
        <v/>
      </c>
      <c r="AC30" s="29" t="str">
        <f t="shared" si="5"/>
        <v/>
      </c>
      <c r="AD30" s="29" t="str">
        <f t="shared" si="5"/>
        <v/>
      </c>
      <c r="AE30" s="29" t="str">
        <f t="shared" si="5"/>
        <v/>
      </c>
      <c r="AF30" s="29" t="str">
        <f t="shared" si="5"/>
        <v/>
      </c>
      <c r="AG30" s="29" t="str">
        <f t="shared" si="5"/>
        <v>札幌市二十四軒南保育園</v>
      </c>
      <c r="AH30" s="29" t="str">
        <f t="shared" si="5"/>
        <v/>
      </c>
      <c r="AI30" s="29">
        <f t="shared" si="5"/>
        <v>0</v>
      </c>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c r="CE30" s="29"/>
      <c r="CF30" s="29"/>
      <c r="CG30" s="29"/>
      <c r="CH30" s="29"/>
      <c r="CI30" s="29"/>
      <c r="CJ30" s="29"/>
      <c r="CK30" s="29"/>
      <c r="CL30" s="29"/>
      <c r="CM30" s="29"/>
      <c r="CN30" s="29"/>
      <c r="CO30" s="29"/>
      <c r="CP30" s="29"/>
      <c r="CQ30" s="29"/>
      <c r="CR30" s="29"/>
      <c r="CS30" s="30"/>
      <c r="CT30" s="30"/>
      <c r="CU30" s="30"/>
      <c r="CV30" s="30"/>
      <c r="CW30" s="30"/>
      <c r="CX30" s="30"/>
      <c r="CY30" s="30"/>
      <c r="CZ30" s="30"/>
      <c r="DA30" s="30"/>
      <c r="DB30" s="30"/>
      <c r="DC30" s="30"/>
      <c r="DD30" s="30"/>
      <c r="DE30" s="30"/>
      <c r="DF30" s="30"/>
      <c r="DG30" s="30"/>
      <c r="DH30" s="30"/>
      <c r="DI30" s="30"/>
      <c r="DJ30" s="31"/>
    </row>
    <row r="31" spans="1:114">
      <c r="A31" s="45">
        <v>100096</v>
      </c>
      <c r="B31" s="46" t="s">
        <v>277</v>
      </c>
      <c r="C31" s="46" t="s">
        <v>626</v>
      </c>
      <c r="D31" s="46" t="s">
        <v>1027</v>
      </c>
      <c r="E31" s="46" t="s">
        <v>278</v>
      </c>
      <c r="F31" s="46" t="s">
        <v>298</v>
      </c>
      <c r="G31" s="46"/>
      <c r="H31" s="46"/>
      <c r="I31" s="46"/>
      <c r="J31" s="46">
        <v>110</v>
      </c>
      <c r="K31" s="46">
        <v>0</v>
      </c>
      <c r="L31" s="46">
        <v>69</v>
      </c>
      <c r="M31" s="46">
        <v>5</v>
      </c>
      <c r="N31" s="46">
        <v>36</v>
      </c>
      <c r="O31" s="46">
        <f>SUM(テーブル1[[#This Row],[列11]:[列12]])</f>
        <v>41</v>
      </c>
      <c r="P31" s="46"/>
      <c r="Q31" s="46"/>
      <c r="R31" s="46">
        <f t="shared" si="1"/>
        <v>110</v>
      </c>
      <c r="S31" s="25">
        <f t="shared" si="2"/>
        <v>100096</v>
      </c>
      <c r="T31" s="25">
        <f>COUNTIF($V$4:V31,V31)</f>
        <v>28</v>
      </c>
      <c r="U31" s="25" t="str">
        <f>IF(T31=1,COUNTIF($T$4:T31,1),"")</f>
        <v/>
      </c>
      <c r="V31" s="26" t="str">
        <f>'施設状況(要更新)'!$E31&amp;'施設状況(要更新)'!$C31</f>
        <v>中央区01保育所</v>
      </c>
      <c r="W31" s="26" t="str">
        <f>'施設状況(要更新)'!$F31</f>
        <v>ＮＯＶＡインターナショナルスクール</v>
      </c>
      <c r="X31" s="27">
        <v>27</v>
      </c>
      <c r="Y31" s="28" t="str">
        <f t="shared" si="5"/>
        <v>ニチイキッズ南まるやま保育園</v>
      </c>
      <c r="Z31" s="29" t="str">
        <f t="shared" si="5"/>
        <v>屯田南保育園</v>
      </c>
      <c r="AA31" s="29" t="str">
        <f t="shared" si="5"/>
        <v/>
      </c>
      <c r="AB31" s="29" t="str">
        <f t="shared" si="5"/>
        <v/>
      </c>
      <c r="AC31" s="29" t="str">
        <f t="shared" si="5"/>
        <v/>
      </c>
      <c r="AD31" s="29" t="str">
        <f t="shared" si="5"/>
        <v/>
      </c>
      <c r="AE31" s="29" t="str">
        <f t="shared" si="5"/>
        <v/>
      </c>
      <c r="AF31" s="29" t="str">
        <f t="shared" si="5"/>
        <v/>
      </c>
      <c r="AG31" s="29" t="str">
        <f t="shared" si="5"/>
        <v/>
      </c>
      <c r="AH31" s="29" t="str">
        <f t="shared" si="5"/>
        <v/>
      </c>
      <c r="AI31" s="29">
        <f t="shared" si="5"/>
        <v>0</v>
      </c>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c r="CD31" s="29"/>
      <c r="CE31" s="29"/>
      <c r="CF31" s="29"/>
      <c r="CG31" s="29"/>
      <c r="CH31" s="29"/>
      <c r="CI31" s="29"/>
      <c r="CJ31" s="29"/>
      <c r="CK31" s="29"/>
      <c r="CL31" s="29"/>
      <c r="CM31" s="29"/>
      <c r="CN31" s="29"/>
      <c r="CO31" s="29"/>
      <c r="CP31" s="29"/>
      <c r="CQ31" s="29"/>
      <c r="CR31" s="29"/>
      <c r="CS31" s="30"/>
      <c r="CT31" s="30"/>
      <c r="CU31" s="30"/>
      <c r="CV31" s="30"/>
      <c r="CW31" s="30"/>
      <c r="CX31" s="30"/>
      <c r="CY31" s="30"/>
      <c r="CZ31" s="30"/>
      <c r="DA31" s="30"/>
      <c r="DB31" s="30"/>
      <c r="DC31" s="30"/>
      <c r="DD31" s="30"/>
      <c r="DE31" s="30"/>
      <c r="DF31" s="30"/>
      <c r="DG31" s="30"/>
      <c r="DH31" s="30"/>
      <c r="DI31" s="30"/>
      <c r="DJ31" s="31"/>
    </row>
    <row r="32" spans="1:114">
      <c r="A32" s="45">
        <v>100106</v>
      </c>
      <c r="B32" s="46" t="s">
        <v>277</v>
      </c>
      <c r="C32" s="46" t="s">
        <v>626</v>
      </c>
      <c r="D32" s="46" t="s">
        <v>1027</v>
      </c>
      <c r="E32" s="46" t="s">
        <v>278</v>
      </c>
      <c r="F32" s="46" t="s">
        <v>1035</v>
      </c>
      <c r="G32" s="46"/>
      <c r="H32" s="46"/>
      <c r="I32" s="46"/>
      <c r="J32" s="46">
        <v>60</v>
      </c>
      <c r="K32" s="46">
        <v>0</v>
      </c>
      <c r="L32" s="46">
        <v>35</v>
      </c>
      <c r="M32" s="46">
        <v>3</v>
      </c>
      <c r="N32" s="46">
        <v>22</v>
      </c>
      <c r="O32" s="46">
        <f>SUM(テーブル1[[#This Row],[列11]:[列12]])</f>
        <v>25</v>
      </c>
      <c r="P32" s="46"/>
      <c r="Q32" s="46"/>
      <c r="R32" s="46">
        <f t="shared" si="1"/>
        <v>60</v>
      </c>
      <c r="S32" s="25">
        <f t="shared" si="2"/>
        <v>100106</v>
      </c>
      <c r="T32" s="25">
        <f>COUNTIF($V$4:V32,V32)</f>
        <v>29</v>
      </c>
      <c r="U32" s="25" t="str">
        <f>IF(T32=1,COUNTIF($T$4:T32,1),"")</f>
        <v/>
      </c>
      <c r="V32" s="26" t="str">
        <f>'施設状況(要更新)'!$E32&amp;'施設状況(要更新)'!$C32</f>
        <v>中央区01保育所</v>
      </c>
      <c r="W32" s="26" t="str">
        <f>'施設状況(要更新)'!$F32</f>
        <v>宮の森ライラック保育園</v>
      </c>
      <c r="X32" s="27">
        <v>28</v>
      </c>
      <c r="Y32" s="28" t="str">
        <f t="shared" si="5"/>
        <v>ＮＯＶＡインターナショナルスクール</v>
      </c>
      <c r="Z32" s="29" t="str">
        <f t="shared" si="5"/>
        <v/>
      </c>
      <c r="AA32" s="29" t="str">
        <f t="shared" si="5"/>
        <v/>
      </c>
      <c r="AB32" s="29" t="str">
        <f t="shared" si="5"/>
        <v/>
      </c>
      <c r="AC32" s="29" t="str">
        <f t="shared" si="5"/>
        <v/>
      </c>
      <c r="AD32" s="29" t="str">
        <f t="shared" si="5"/>
        <v/>
      </c>
      <c r="AE32" s="29" t="str">
        <f t="shared" si="5"/>
        <v/>
      </c>
      <c r="AF32" s="29" t="str">
        <f t="shared" si="5"/>
        <v/>
      </c>
      <c r="AG32" s="29" t="str">
        <f t="shared" si="5"/>
        <v/>
      </c>
      <c r="AH32" s="29" t="str">
        <f t="shared" si="5"/>
        <v/>
      </c>
      <c r="AI32" s="29">
        <f t="shared" si="5"/>
        <v>0</v>
      </c>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c r="CE32" s="29"/>
      <c r="CF32" s="29"/>
      <c r="CG32" s="29"/>
      <c r="CH32" s="29"/>
      <c r="CI32" s="29"/>
      <c r="CJ32" s="29"/>
      <c r="CK32" s="29"/>
      <c r="CL32" s="29"/>
      <c r="CM32" s="29"/>
      <c r="CN32" s="29"/>
      <c r="CO32" s="29"/>
      <c r="CP32" s="29"/>
      <c r="CQ32" s="29"/>
      <c r="CR32" s="29"/>
      <c r="CS32" s="30"/>
      <c r="CT32" s="30"/>
      <c r="CU32" s="30"/>
      <c r="CV32" s="30"/>
      <c r="CW32" s="30"/>
      <c r="CX32" s="30"/>
      <c r="CY32" s="30"/>
      <c r="CZ32" s="30"/>
      <c r="DA32" s="30"/>
      <c r="DB32" s="30"/>
      <c r="DC32" s="30"/>
      <c r="DD32" s="30"/>
      <c r="DE32" s="30"/>
      <c r="DF32" s="30"/>
      <c r="DG32" s="30"/>
      <c r="DH32" s="30"/>
      <c r="DI32" s="30"/>
      <c r="DJ32" s="31"/>
    </row>
    <row r="33" spans="1:114">
      <c r="A33" s="45">
        <v>100108</v>
      </c>
      <c r="B33" s="46" t="s">
        <v>277</v>
      </c>
      <c r="C33" s="46" t="s">
        <v>626</v>
      </c>
      <c r="D33" s="46" t="s">
        <v>1027</v>
      </c>
      <c r="E33" s="46" t="s">
        <v>278</v>
      </c>
      <c r="F33" s="46" t="s">
        <v>1036</v>
      </c>
      <c r="G33" s="46"/>
      <c r="H33" s="46"/>
      <c r="I33" s="46"/>
      <c r="J33" s="46">
        <v>90</v>
      </c>
      <c r="K33" s="46">
        <v>0</v>
      </c>
      <c r="L33" s="46">
        <v>51</v>
      </c>
      <c r="M33" s="46">
        <v>5</v>
      </c>
      <c r="N33" s="46">
        <v>34</v>
      </c>
      <c r="O33" s="46">
        <f>SUM(テーブル1[[#This Row],[列11]:[列12]])</f>
        <v>39</v>
      </c>
      <c r="P33" s="46"/>
      <c r="Q33" s="46"/>
      <c r="R33" s="46">
        <f t="shared" si="1"/>
        <v>90</v>
      </c>
      <c r="S33" s="25">
        <f t="shared" si="2"/>
        <v>100108</v>
      </c>
      <c r="T33" s="25">
        <f>COUNTIF($V$4:V33,V33)</f>
        <v>30</v>
      </c>
      <c r="U33" s="25" t="str">
        <f>IF(T33=1,COUNTIF($T$4:T33,1),"")</f>
        <v/>
      </c>
      <c r="V33" s="26" t="str">
        <f>'施設状況(要更新)'!$E33&amp;'施設状況(要更新)'!$C33</f>
        <v>中央区01保育所</v>
      </c>
      <c r="W33" s="26" t="str">
        <f>'施設状況(要更新)'!$F33</f>
        <v>伏見保育園</v>
      </c>
      <c r="X33" s="27">
        <v>29</v>
      </c>
      <c r="Y33" s="28" t="str">
        <f t="shared" si="5"/>
        <v>宮の森ライラック保育園</v>
      </c>
      <c r="Z33" s="29" t="str">
        <f t="shared" si="5"/>
        <v/>
      </c>
      <c r="AA33" s="29" t="str">
        <f t="shared" si="5"/>
        <v/>
      </c>
      <c r="AB33" s="29" t="str">
        <f t="shared" si="5"/>
        <v/>
      </c>
      <c r="AC33" s="29" t="str">
        <f t="shared" si="5"/>
        <v/>
      </c>
      <c r="AD33" s="29" t="str">
        <f t="shared" si="5"/>
        <v/>
      </c>
      <c r="AE33" s="29" t="str">
        <f t="shared" si="5"/>
        <v/>
      </c>
      <c r="AF33" s="29" t="str">
        <f t="shared" si="5"/>
        <v/>
      </c>
      <c r="AG33" s="29" t="str">
        <f t="shared" si="5"/>
        <v/>
      </c>
      <c r="AH33" s="29" t="str">
        <f t="shared" si="5"/>
        <v/>
      </c>
      <c r="AI33" s="29">
        <f t="shared" si="5"/>
        <v>0</v>
      </c>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29"/>
      <c r="BT33" s="29"/>
      <c r="BU33" s="29"/>
      <c r="BV33" s="29"/>
      <c r="BW33" s="29"/>
      <c r="BX33" s="29"/>
      <c r="BY33" s="29"/>
      <c r="BZ33" s="29"/>
      <c r="CA33" s="29"/>
      <c r="CB33" s="29"/>
      <c r="CC33" s="29"/>
      <c r="CD33" s="29"/>
      <c r="CE33" s="29"/>
      <c r="CF33" s="29"/>
      <c r="CG33" s="29"/>
      <c r="CH33" s="29"/>
      <c r="CI33" s="29"/>
      <c r="CJ33" s="29"/>
      <c r="CK33" s="29"/>
      <c r="CL33" s="29"/>
      <c r="CM33" s="29"/>
      <c r="CN33" s="29"/>
      <c r="CO33" s="29"/>
      <c r="CP33" s="29"/>
      <c r="CQ33" s="29"/>
      <c r="CR33" s="29"/>
      <c r="CS33" s="30"/>
      <c r="CT33" s="30"/>
      <c r="CU33" s="30"/>
      <c r="CV33" s="30"/>
      <c r="CW33" s="30"/>
      <c r="CX33" s="30"/>
      <c r="CY33" s="30"/>
      <c r="CZ33" s="30"/>
      <c r="DA33" s="30"/>
      <c r="DB33" s="30"/>
      <c r="DC33" s="30"/>
      <c r="DD33" s="30"/>
      <c r="DE33" s="30"/>
      <c r="DF33" s="30"/>
      <c r="DG33" s="30"/>
      <c r="DH33" s="30"/>
      <c r="DI33" s="30"/>
      <c r="DJ33" s="31"/>
    </row>
    <row r="34" spans="1:114">
      <c r="A34" s="45">
        <v>100109</v>
      </c>
      <c r="B34" s="46" t="s">
        <v>277</v>
      </c>
      <c r="C34" s="46" t="s">
        <v>626</v>
      </c>
      <c r="D34" s="46" t="s">
        <v>1027</v>
      </c>
      <c r="E34" s="46" t="s">
        <v>278</v>
      </c>
      <c r="F34" s="46" t="s">
        <v>1037</v>
      </c>
      <c r="G34" s="46"/>
      <c r="H34" s="46"/>
      <c r="I34" s="46"/>
      <c r="J34" s="46">
        <v>50</v>
      </c>
      <c r="K34" s="46">
        <v>0</v>
      </c>
      <c r="L34" s="46">
        <v>29</v>
      </c>
      <c r="M34" s="46">
        <v>3</v>
      </c>
      <c r="N34" s="46">
        <v>18</v>
      </c>
      <c r="O34" s="46">
        <f>SUM(テーブル1[[#This Row],[列11]:[列12]])</f>
        <v>21</v>
      </c>
      <c r="P34" s="46"/>
      <c r="Q34" s="46"/>
      <c r="R34" s="46">
        <f t="shared" si="1"/>
        <v>50</v>
      </c>
      <c r="S34" s="25">
        <f t="shared" si="2"/>
        <v>100109</v>
      </c>
      <c r="T34" s="25">
        <f>COUNTIF($V$4:V34,V34)</f>
        <v>31</v>
      </c>
      <c r="U34" s="25" t="str">
        <f>IF(T34=1,COUNTIF($T$4:T34,1),"")</f>
        <v/>
      </c>
      <c r="V34" s="26" t="str">
        <f>'施設状況(要更新)'!$E34&amp;'施設状況(要更新)'!$C34</f>
        <v>中央区01保育所</v>
      </c>
      <c r="W34" s="26" t="str">
        <f>'施設状況(要更新)'!$F34</f>
        <v>山鼻ひまわり保育園</v>
      </c>
      <c r="X34" s="27">
        <v>30</v>
      </c>
      <c r="Y34" s="28" t="str">
        <f t="shared" si="5"/>
        <v>伏見保育園</v>
      </c>
      <c r="Z34" s="29" t="str">
        <f t="shared" si="5"/>
        <v/>
      </c>
      <c r="AA34" s="29" t="str">
        <f t="shared" si="5"/>
        <v/>
      </c>
      <c r="AB34" s="29" t="str">
        <f t="shared" si="5"/>
        <v/>
      </c>
      <c r="AC34" s="29" t="str">
        <f t="shared" si="5"/>
        <v/>
      </c>
      <c r="AD34" s="29" t="str">
        <f t="shared" si="5"/>
        <v/>
      </c>
      <c r="AE34" s="29" t="str">
        <f t="shared" si="5"/>
        <v/>
      </c>
      <c r="AF34" s="29" t="str">
        <f t="shared" si="5"/>
        <v/>
      </c>
      <c r="AG34" s="29" t="str">
        <f t="shared" si="5"/>
        <v/>
      </c>
      <c r="AH34" s="29" t="str">
        <f t="shared" si="5"/>
        <v/>
      </c>
      <c r="AI34" s="29">
        <f t="shared" si="5"/>
        <v>0</v>
      </c>
      <c r="AJ34" s="29"/>
      <c r="AK34" s="29"/>
      <c r="AL34" s="29"/>
      <c r="AM34" s="29"/>
      <c r="AN34" s="29"/>
      <c r="AO34" s="29"/>
      <c r="AP34" s="29"/>
      <c r="AQ34" s="29"/>
      <c r="AR34" s="29"/>
      <c r="AS34" s="29"/>
      <c r="AT34" s="29"/>
      <c r="AU34" s="29"/>
      <c r="AV34" s="29"/>
      <c r="AW34" s="29"/>
      <c r="AX34" s="29"/>
      <c r="AY34" s="29"/>
      <c r="AZ34" s="29"/>
      <c r="BA34" s="29"/>
      <c r="BB34" s="29"/>
      <c r="BC34" s="29"/>
      <c r="BD34" s="29"/>
      <c r="BE34" s="29"/>
      <c r="BF34" s="29"/>
      <c r="BG34" s="29"/>
      <c r="BH34" s="29"/>
      <c r="BI34" s="29"/>
      <c r="BJ34" s="29"/>
      <c r="BK34" s="29"/>
      <c r="BL34" s="29"/>
      <c r="BM34" s="29"/>
      <c r="BN34" s="29"/>
      <c r="BO34" s="29"/>
      <c r="BP34" s="29"/>
      <c r="BQ34" s="29"/>
      <c r="BR34" s="29"/>
      <c r="BS34" s="29"/>
      <c r="BT34" s="29"/>
      <c r="BU34" s="29"/>
      <c r="BV34" s="29"/>
      <c r="BW34" s="29"/>
      <c r="BX34" s="29"/>
      <c r="BY34" s="29"/>
      <c r="BZ34" s="29"/>
      <c r="CA34" s="29"/>
      <c r="CB34" s="29"/>
      <c r="CC34" s="29"/>
      <c r="CD34" s="29"/>
      <c r="CE34" s="29"/>
      <c r="CF34" s="29"/>
      <c r="CG34" s="29"/>
      <c r="CH34" s="29"/>
      <c r="CI34" s="29"/>
      <c r="CJ34" s="29"/>
      <c r="CK34" s="29"/>
      <c r="CL34" s="29"/>
      <c r="CM34" s="29"/>
      <c r="CN34" s="29"/>
      <c r="CO34" s="29"/>
      <c r="CP34" s="29"/>
      <c r="CQ34" s="29"/>
      <c r="CR34" s="29"/>
      <c r="CS34" s="30"/>
      <c r="CT34" s="30"/>
      <c r="CU34" s="30"/>
      <c r="CV34" s="30"/>
      <c r="CW34" s="30"/>
      <c r="CX34" s="30"/>
      <c r="CY34" s="30"/>
      <c r="CZ34" s="30"/>
      <c r="DA34" s="30"/>
      <c r="DB34" s="30"/>
      <c r="DC34" s="30"/>
      <c r="DD34" s="30"/>
      <c r="DE34" s="30"/>
      <c r="DF34" s="30"/>
      <c r="DG34" s="30"/>
      <c r="DH34" s="30"/>
      <c r="DI34" s="30"/>
      <c r="DJ34" s="31"/>
    </row>
    <row r="35" spans="1:114">
      <c r="A35" s="45">
        <v>100111</v>
      </c>
      <c r="B35" s="46" t="s">
        <v>277</v>
      </c>
      <c r="C35" s="46" t="s">
        <v>626</v>
      </c>
      <c r="D35" s="46" t="s">
        <v>1027</v>
      </c>
      <c r="E35" s="46" t="s">
        <v>278</v>
      </c>
      <c r="F35" s="46" t="s">
        <v>1219</v>
      </c>
      <c r="G35" s="46"/>
      <c r="H35" s="46"/>
      <c r="I35" s="46"/>
      <c r="J35" s="46">
        <v>60</v>
      </c>
      <c r="K35" s="46">
        <v>0</v>
      </c>
      <c r="L35" s="46">
        <v>45</v>
      </c>
      <c r="M35" s="46">
        <v>3</v>
      </c>
      <c r="N35" s="46">
        <v>12</v>
      </c>
      <c r="O35" s="46">
        <f>SUM(テーブル1[[#This Row],[列11]:[列12]])</f>
        <v>15</v>
      </c>
      <c r="P35" s="46"/>
      <c r="Q35" s="46"/>
      <c r="R35" s="46">
        <f t="shared" si="1"/>
        <v>60</v>
      </c>
      <c r="S35" s="25">
        <f t="shared" si="2"/>
        <v>100111</v>
      </c>
      <c r="T35" s="25">
        <f>COUNTIF($V$4:V35,V35)</f>
        <v>32</v>
      </c>
      <c r="U35" s="25" t="str">
        <f>IF(T35=1,COUNTIF($T$4:T35,1),"")</f>
        <v/>
      </c>
      <c r="V35" s="26" t="str">
        <f>'施設状況(要更新)'!$E35&amp;'施設状況(要更新)'!$C35</f>
        <v>中央区01保育所</v>
      </c>
      <c r="W35" s="26" t="str">
        <f>'施設状況(要更新)'!$F35</f>
        <v>光塩大通り保育園</v>
      </c>
      <c r="X35" s="27">
        <v>31</v>
      </c>
      <c r="Y35" s="28" t="str">
        <f t="shared" ref="Y35:AI44" si="6">IFERROR(INDEX($T$4:$W$678,MATCH($X35&amp;Y$3,INDEX($T$4:$T$678&amp;$V$4:$V$678,),0),MATCH("施設名",$T$3:$W$3,0)),"")</f>
        <v>山鼻ひまわり保育園</v>
      </c>
      <c r="Z35" s="29" t="str">
        <f t="shared" si="6"/>
        <v/>
      </c>
      <c r="AA35" s="29" t="str">
        <f t="shared" si="6"/>
        <v/>
      </c>
      <c r="AB35" s="29" t="str">
        <f t="shared" si="6"/>
        <v/>
      </c>
      <c r="AC35" s="29" t="str">
        <f t="shared" si="6"/>
        <v/>
      </c>
      <c r="AD35" s="29" t="str">
        <f t="shared" si="6"/>
        <v/>
      </c>
      <c r="AE35" s="29" t="str">
        <f t="shared" si="6"/>
        <v/>
      </c>
      <c r="AF35" s="29" t="str">
        <f t="shared" si="6"/>
        <v/>
      </c>
      <c r="AG35" s="29" t="str">
        <f t="shared" si="6"/>
        <v/>
      </c>
      <c r="AH35" s="29" t="str">
        <f t="shared" si="6"/>
        <v/>
      </c>
      <c r="AI35" s="29">
        <f t="shared" si="6"/>
        <v>0</v>
      </c>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c r="BU35" s="29"/>
      <c r="BV35" s="29"/>
      <c r="BW35" s="29"/>
      <c r="BX35" s="29"/>
      <c r="BY35" s="29"/>
      <c r="BZ35" s="29"/>
      <c r="CA35" s="29"/>
      <c r="CB35" s="29"/>
      <c r="CC35" s="29"/>
      <c r="CD35" s="29"/>
      <c r="CE35" s="29"/>
      <c r="CF35" s="29"/>
      <c r="CG35" s="29"/>
      <c r="CH35" s="29"/>
      <c r="CI35" s="29"/>
      <c r="CJ35" s="29"/>
      <c r="CK35" s="29"/>
      <c r="CL35" s="29"/>
      <c r="CM35" s="29"/>
      <c r="CN35" s="29"/>
      <c r="CO35" s="29"/>
      <c r="CP35" s="29"/>
      <c r="CQ35" s="29"/>
      <c r="CR35" s="29"/>
      <c r="CS35" s="30"/>
      <c r="CT35" s="30"/>
      <c r="CU35" s="30"/>
      <c r="CV35" s="30"/>
      <c r="CW35" s="30"/>
      <c r="CX35" s="30"/>
      <c r="CY35" s="30"/>
      <c r="CZ35" s="30"/>
      <c r="DA35" s="30"/>
      <c r="DB35" s="30"/>
      <c r="DC35" s="30"/>
      <c r="DD35" s="30"/>
      <c r="DE35" s="30"/>
      <c r="DF35" s="30"/>
      <c r="DG35" s="30"/>
      <c r="DH35" s="30"/>
      <c r="DI35" s="30"/>
      <c r="DJ35" s="31"/>
    </row>
    <row r="36" spans="1:114">
      <c r="A36" s="45">
        <v>100112</v>
      </c>
      <c r="B36" s="46" t="s">
        <v>277</v>
      </c>
      <c r="C36" s="46" t="s">
        <v>626</v>
      </c>
      <c r="D36" s="46" t="s">
        <v>1027</v>
      </c>
      <c r="E36" s="46" t="s">
        <v>278</v>
      </c>
      <c r="F36" s="46" t="s">
        <v>1220</v>
      </c>
      <c r="G36" s="46"/>
      <c r="H36" s="46"/>
      <c r="I36" s="46"/>
      <c r="J36" s="46">
        <v>40</v>
      </c>
      <c r="K36" s="46">
        <v>0</v>
      </c>
      <c r="L36" s="46">
        <v>24</v>
      </c>
      <c r="M36" s="46">
        <v>2</v>
      </c>
      <c r="N36" s="46">
        <v>14</v>
      </c>
      <c r="O36" s="46">
        <f>SUM(テーブル1[[#This Row],[列11]:[列12]])</f>
        <v>16</v>
      </c>
      <c r="P36" s="46"/>
      <c r="Q36" s="46"/>
      <c r="R36" s="46">
        <f t="shared" si="1"/>
        <v>40</v>
      </c>
      <c r="S36" s="25">
        <f t="shared" si="2"/>
        <v>100112</v>
      </c>
      <c r="T36" s="25">
        <f>COUNTIF($V$4:V36,V36)</f>
        <v>33</v>
      </c>
      <c r="U36" s="25" t="str">
        <f>IF(T36=1,COUNTIF($T$4:T36,1),"")</f>
        <v/>
      </c>
      <c r="V36" s="26" t="str">
        <f>'施設状況(要更新)'!$E36&amp;'施設状況(要更新)'!$C36</f>
        <v>中央区01保育所</v>
      </c>
      <c r="W36" s="26" t="str">
        <f>'施設状況(要更新)'!$F36</f>
        <v>木育こどもの家宮の森保育園</v>
      </c>
      <c r="X36" s="27">
        <v>32</v>
      </c>
      <c r="Y36" s="28" t="str">
        <f t="shared" si="6"/>
        <v>光塩大通り保育園</v>
      </c>
      <c r="Z36" s="29" t="str">
        <f t="shared" si="6"/>
        <v/>
      </c>
      <c r="AA36" s="29" t="str">
        <f t="shared" si="6"/>
        <v/>
      </c>
      <c r="AB36" s="29" t="str">
        <f t="shared" si="6"/>
        <v/>
      </c>
      <c r="AC36" s="29" t="str">
        <f t="shared" si="6"/>
        <v/>
      </c>
      <c r="AD36" s="29" t="str">
        <f t="shared" si="6"/>
        <v/>
      </c>
      <c r="AE36" s="29" t="str">
        <f t="shared" si="6"/>
        <v/>
      </c>
      <c r="AF36" s="29" t="str">
        <f t="shared" si="6"/>
        <v/>
      </c>
      <c r="AG36" s="29" t="str">
        <f t="shared" si="6"/>
        <v/>
      </c>
      <c r="AH36" s="29" t="str">
        <f t="shared" si="6"/>
        <v/>
      </c>
      <c r="AI36" s="29">
        <f t="shared" si="6"/>
        <v>0</v>
      </c>
      <c r="AJ36" s="29"/>
      <c r="AK36" s="29"/>
      <c r="AL36" s="29"/>
      <c r="AM36" s="29"/>
      <c r="AN36" s="29"/>
      <c r="AO36" s="29"/>
      <c r="AP36" s="29"/>
      <c r="AQ36" s="29"/>
      <c r="AR36" s="29"/>
      <c r="AS36" s="29"/>
      <c r="AT36" s="29"/>
      <c r="AU36" s="29"/>
      <c r="AV36" s="29"/>
      <c r="AW36" s="29"/>
      <c r="AX36" s="29"/>
      <c r="AY36" s="29"/>
      <c r="AZ36" s="29"/>
      <c r="BA36" s="29"/>
      <c r="BB36" s="29"/>
      <c r="BC36" s="29"/>
      <c r="BD36" s="29"/>
      <c r="BE36" s="29"/>
      <c r="BF36" s="29"/>
      <c r="BG36" s="29"/>
      <c r="BH36" s="29"/>
      <c r="BI36" s="29"/>
      <c r="BJ36" s="29"/>
      <c r="BK36" s="29"/>
      <c r="BL36" s="29"/>
      <c r="BM36" s="29"/>
      <c r="BN36" s="29"/>
      <c r="BO36" s="29"/>
      <c r="BP36" s="29"/>
      <c r="BQ36" s="29"/>
      <c r="BR36" s="29"/>
      <c r="BS36" s="29"/>
      <c r="BT36" s="29"/>
      <c r="BU36" s="29"/>
      <c r="BV36" s="29"/>
      <c r="BW36" s="29"/>
      <c r="BX36" s="29"/>
      <c r="BY36" s="29"/>
      <c r="BZ36" s="29"/>
      <c r="CA36" s="29"/>
      <c r="CB36" s="29"/>
      <c r="CC36" s="29"/>
      <c r="CD36" s="29"/>
      <c r="CE36" s="29"/>
      <c r="CF36" s="29"/>
      <c r="CG36" s="29"/>
      <c r="CH36" s="29"/>
      <c r="CI36" s="29"/>
      <c r="CJ36" s="29"/>
      <c r="CK36" s="29"/>
      <c r="CL36" s="29"/>
      <c r="CM36" s="29"/>
      <c r="CN36" s="29"/>
      <c r="CO36" s="29"/>
      <c r="CP36" s="29"/>
      <c r="CQ36" s="29"/>
      <c r="CR36" s="29"/>
      <c r="CS36" s="30"/>
      <c r="CT36" s="30"/>
      <c r="CU36" s="30"/>
      <c r="CV36" s="30"/>
      <c r="CW36" s="30"/>
      <c r="CX36" s="30"/>
      <c r="CY36" s="30"/>
      <c r="CZ36" s="30"/>
      <c r="DA36" s="30"/>
      <c r="DB36" s="30"/>
      <c r="DC36" s="30"/>
      <c r="DD36" s="30"/>
      <c r="DE36" s="30"/>
      <c r="DF36" s="30"/>
      <c r="DG36" s="30"/>
      <c r="DH36" s="30"/>
      <c r="DI36" s="30"/>
      <c r="DJ36" s="31"/>
    </row>
    <row r="37" spans="1:114">
      <c r="A37" s="45">
        <v>100113</v>
      </c>
      <c r="B37" s="46" t="s">
        <v>277</v>
      </c>
      <c r="C37" s="46" t="s">
        <v>626</v>
      </c>
      <c r="D37" s="46" t="s">
        <v>1027</v>
      </c>
      <c r="E37" s="46" t="s">
        <v>278</v>
      </c>
      <c r="F37" s="46" t="s">
        <v>1243</v>
      </c>
      <c r="G37" s="46"/>
      <c r="H37" s="46"/>
      <c r="I37" s="46"/>
      <c r="J37" s="46">
        <v>40</v>
      </c>
      <c r="K37" s="46">
        <v>0</v>
      </c>
      <c r="L37" s="46">
        <v>24</v>
      </c>
      <c r="M37" s="46">
        <v>2</v>
      </c>
      <c r="N37" s="46">
        <v>14</v>
      </c>
      <c r="O37" s="46">
        <f>SUM(テーブル1[[#This Row],[列11]:[列12]])</f>
        <v>16</v>
      </c>
      <c r="P37" s="46"/>
      <c r="Q37" s="46"/>
      <c r="R37" s="46">
        <f t="shared" si="1"/>
        <v>40</v>
      </c>
      <c r="S37" s="25">
        <f t="shared" si="2"/>
        <v>100113</v>
      </c>
      <c r="T37" s="25">
        <f>COUNTIF($V$4:V37,V37)</f>
        <v>34</v>
      </c>
      <c r="U37" s="25" t="str">
        <f>IF(T37=1,COUNTIF($T$4:T37,1),"")</f>
        <v/>
      </c>
      <c r="V37" s="26" t="str">
        <f>'施設状況(要更新)'!$E37&amp;'施設状況(要更新)'!$C37</f>
        <v>中央区01保育所</v>
      </c>
      <c r="W37" s="26" t="str">
        <f>'施設状況(要更新)'!$F37</f>
        <v>にこまるえん円山</v>
      </c>
      <c r="X37" s="27">
        <v>33</v>
      </c>
      <c r="Y37" s="28" t="str">
        <f t="shared" si="6"/>
        <v>木育こどもの家宮の森保育園</v>
      </c>
      <c r="Z37" s="29" t="str">
        <f t="shared" si="6"/>
        <v/>
      </c>
      <c r="AA37" s="29" t="str">
        <f t="shared" si="6"/>
        <v/>
      </c>
      <c r="AB37" s="29" t="str">
        <f t="shared" si="6"/>
        <v/>
      </c>
      <c r="AC37" s="29" t="str">
        <f t="shared" si="6"/>
        <v/>
      </c>
      <c r="AD37" s="29" t="str">
        <f t="shared" si="6"/>
        <v/>
      </c>
      <c r="AE37" s="29" t="str">
        <f t="shared" si="6"/>
        <v/>
      </c>
      <c r="AF37" s="29" t="str">
        <f t="shared" si="6"/>
        <v/>
      </c>
      <c r="AG37" s="29" t="str">
        <f t="shared" si="6"/>
        <v/>
      </c>
      <c r="AH37" s="29" t="str">
        <f t="shared" si="6"/>
        <v/>
      </c>
      <c r="AI37" s="29">
        <f t="shared" si="6"/>
        <v>0</v>
      </c>
      <c r="AJ37" s="29"/>
      <c r="AK37" s="29"/>
      <c r="AL37" s="29"/>
      <c r="AM37" s="29"/>
      <c r="AN37" s="29"/>
      <c r="AO37" s="29"/>
      <c r="AP37" s="29"/>
      <c r="AQ37" s="29"/>
      <c r="AR37" s="29"/>
      <c r="AS37" s="29"/>
      <c r="AT37" s="29"/>
      <c r="AU37" s="29"/>
      <c r="AV37" s="29"/>
      <c r="AW37" s="29"/>
      <c r="AX37" s="29"/>
      <c r="AY37" s="29"/>
      <c r="AZ37" s="29"/>
      <c r="BA37" s="29"/>
      <c r="BB37" s="29"/>
      <c r="BC37" s="29"/>
      <c r="BD37" s="29"/>
      <c r="BE37" s="29"/>
      <c r="BF37" s="29"/>
      <c r="BG37" s="29"/>
      <c r="BH37" s="29"/>
      <c r="BI37" s="29"/>
      <c r="BJ37" s="29"/>
      <c r="BK37" s="29"/>
      <c r="BL37" s="29"/>
      <c r="BM37" s="29"/>
      <c r="BN37" s="29"/>
      <c r="BO37" s="29"/>
      <c r="BP37" s="29"/>
      <c r="BQ37" s="29"/>
      <c r="BR37" s="29"/>
      <c r="BS37" s="29"/>
      <c r="BT37" s="29"/>
      <c r="BU37" s="29"/>
      <c r="BV37" s="29"/>
      <c r="BW37" s="29"/>
      <c r="BX37" s="29"/>
      <c r="BY37" s="29"/>
      <c r="BZ37" s="29"/>
      <c r="CA37" s="29"/>
      <c r="CB37" s="29"/>
      <c r="CC37" s="29"/>
      <c r="CD37" s="29"/>
      <c r="CE37" s="29"/>
      <c r="CF37" s="29"/>
      <c r="CG37" s="29"/>
      <c r="CH37" s="29"/>
      <c r="CI37" s="29"/>
      <c r="CJ37" s="29"/>
      <c r="CK37" s="29"/>
      <c r="CL37" s="29"/>
      <c r="CM37" s="29"/>
      <c r="CN37" s="29"/>
      <c r="CO37" s="29"/>
      <c r="CP37" s="29"/>
      <c r="CQ37" s="29"/>
      <c r="CR37" s="29"/>
      <c r="CS37" s="30"/>
      <c r="CT37" s="30"/>
      <c r="CU37" s="30"/>
      <c r="CV37" s="30"/>
      <c r="CW37" s="30"/>
      <c r="CX37" s="30"/>
      <c r="CY37" s="30"/>
      <c r="CZ37" s="30"/>
      <c r="DA37" s="30"/>
      <c r="DB37" s="30"/>
      <c r="DC37" s="30"/>
      <c r="DD37" s="30"/>
      <c r="DE37" s="30"/>
      <c r="DF37" s="30"/>
      <c r="DG37" s="30"/>
      <c r="DH37" s="30"/>
      <c r="DI37" s="30"/>
      <c r="DJ37" s="31"/>
    </row>
    <row r="38" spans="1:114">
      <c r="A38" s="45">
        <v>200007</v>
      </c>
      <c r="B38" s="46" t="s">
        <v>277</v>
      </c>
      <c r="C38" s="46" t="s">
        <v>626</v>
      </c>
      <c r="D38" s="46" t="s">
        <v>1027</v>
      </c>
      <c r="E38" s="46" t="s">
        <v>299</v>
      </c>
      <c r="F38" s="46" t="s">
        <v>300</v>
      </c>
      <c r="G38" s="46"/>
      <c r="H38" s="46"/>
      <c r="I38" s="46"/>
      <c r="J38" s="46">
        <v>60</v>
      </c>
      <c r="K38" s="46">
        <v>0</v>
      </c>
      <c r="L38" s="46">
        <v>32</v>
      </c>
      <c r="M38" s="46">
        <v>9</v>
      </c>
      <c r="N38" s="46">
        <v>19</v>
      </c>
      <c r="O38" s="46">
        <f>SUM(テーブル1[[#This Row],[列11]:[列12]])</f>
        <v>28</v>
      </c>
      <c r="P38" s="46"/>
      <c r="Q38" s="46"/>
      <c r="R38" s="46">
        <f t="shared" si="1"/>
        <v>60</v>
      </c>
      <c r="S38" s="25">
        <f t="shared" si="2"/>
        <v>200007</v>
      </c>
      <c r="T38" s="25">
        <f>COUNTIF($V$4:V38,V38)</f>
        <v>1</v>
      </c>
      <c r="U38" s="25">
        <f>IF(T38=1,COUNTIF($T$4:T38,1),"")</f>
        <v>2</v>
      </c>
      <c r="V38" s="26" t="str">
        <f>'施設状況(要更新)'!$E38&amp;'施設状況(要更新)'!$C38</f>
        <v>北区01保育所</v>
      </c>
      <c r="W38" s="26" t="str">
        <f>'施設状況(要更新)'!$F38</f>
        <v>あいの里協働保育園</v>
      </c>
      <c r="X38" s="27">
        <v>34</v>
      </c>
      <c r="Y38" s="28" t="str">
        <f t="shared" si="6"/>
        <v>にこまるえん円山</v>
      </c>
      <c r="Z38" s="29" t="str">
        <f t="shared" si="6"/>
        <v/>
      </c>
      <c r="AA38" s="29" t="str">
        <f t="shared" si="6"/>
        <v/>
      </c>
      <c r="AB38" s="29" t="str">
        <f t="shared" si="6"/>
        <v/>
      </c>
      <c r="AC38" s="29" t="str">
        <f t="shared" si="6"/>
        <v/>
      </c>
      <c r="AD38" s="29" t="str">
        <f t="shared" si="6"/>
        <v/>
      </c>
      <c r="AE38" s="29" t="str">
        <f t="shared" si="6"/>
        <v/>
      </c>
      <c r="AF38" s="29" t="str">
        <f t="shared" si="6"/>
        <v/>
      </c>
      <c r="AG38" s="29" t="str">
        <f t="shared" si="6"/>
        <v/>
      </c>
      <c r="AH38" s="29" t="str">
        <f t="shared" si="6"/>
        <v/>
      </c>
      <c r="AI38" s="29">
        <f t="shared" si="6"/>
        <v>0</v>
      </c>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29"/>
      <c r="BP38" s="29"/>
      <c r="BQ38" s="29"/>
      <c r="BR38" s="29"/>
      <c r="BS38" s="29"/>
      <c r="BT38" s="29"/>
      <c r="BU38" s="29"/>
      <c r="BV38" s="29"/>
      <c r="BW38" s="29"/>
      <c r="BX38" s="29"/>
      <c r="BY38" s="29"/>
      <c r="BZ38" s="29"/>
      <c r="CA38" s="29"/>
      <c r="CB38" s="29"/>
      <c r="CC38" s="29"/>
      <c r="CD38" s="29"/>
      <c r="CE38" s="29"/>
      <c r="CF38" s="29"/>
      <c r="CG38" s="29"/>
      <c r="CH38" s="29"/>
      <c r="CI38" s="29"/>
      <c r="CJ38" s="29"/>
      <c r="CK38" s="29"/>
      <c r="CL38" s="29"/>
      <c r="CM38" s="29"/>
      <c r="CN38" s="29"/>
      <c r="CO38" s="29"/>
      <c r="CP38" s="29"/>
      <c r="CQ38" s="29"/>
      <c r="CR38" s="29"/>
      <c r="CS38" s="30"/>
      <c r="CT38" s="30"/>
      <c r="CU38" s="30"/>
      <c r="CV38" s="30"/>
      <c r="CW38" s="30"/>
      <c r="CX38" s="30"/>
      <c r="CY38" s="30"/>
      <c r="CZ38" s="30"/>
      <c r="DA38" s="30"/>
      <c r="DB38" s="30"/>
      <c r="DC38" s="30"/>
      <c r="DD38" s="30"/>
      <c r="DE38" s="30"/>
      <c r="DF38" s="30"/>
      <c r="DG38" s="30"/>
      <c r="DH38" s="30"/>
      <c r="DI38" s="30"/>
      <c r="DJ38" s="31"/>
    </row>
    <row r="39" spans="1:114">
      <c r="A39" s="45">
        <v>200008</v>
      </c>
      <c r="B39" s="46" t="s">
        <v>277</v>
      </c>
      <c r="C39" s="46" t="s">
        <v>626</v>
      </c>
      <c r="D39" s="46" t="s">
        <v>1027</v>
      </c>
      <c r="E39" s="46" t="s">
        <v>299</v>
      </c>
      <c r="F39" s="46" t="s">
        <v>301</v>
      </c>
      <c r="G39" s="46"/>
      <c r="H39" s="46"/>
      <c r="I39" s="46"/>
      <c r="J39" s="46">
        <v>60</v>
      </c>
      <c r="K39" s="46">
        <v>0</v>
      </c>
      <c r="L39" s="46">
        <v>33</v>
      </c>
      <c r="M39" s="46">
        <v>6</v>
      </c>
      <c r="N39" s="46">
        <v>21</v>
      </c>
      <c r="O39" s="46">
        <f>SUM(テーブル1[[#This Row],[列11]:[列12]])</f>
        <v>27</v>
      </c>
      <c r="P39" s="46"/>
      <c r="Q39" s="46"/>
      <c r="R39" s="46">
        <f t="shared" si="1"/>
        <v>60</v>
      </c>
      <c r="S39" s="25">
        <f t="shared" si="2"/>
        <v>200008</v>
      </c>
      <c r="T39" s="25">
        <f>COUNTIF($V$4:V39,V39)</f>
        <v>2</v>
      </c>
      <c r="U39" s="25" t="str">
        <f>IF(T39=1,COUNTIF($T$4:T39,1),"")</f>
        <v/>
      </c>
      <c r="V39" s="26" t="str">
        <f>'施設状況(要更新)'!$E39&amp;'施設状況(要更新)'!$C39</f>
        <v>北区01保育所</v>
      </c>
      <c r="W39" s="26" t="str">
        <f>'施設状況(要更新)'!$F39</f>
        <v>ドリームキッズ保育園</v>
      </c>
      <c r="X39" s="27">
        <v>35</v>
      </c>
      <c r="Y39" s="28" t="str">
        <f t="shared" si="6"/>
        <v>札幌市大通保育園</v>
      </c>
      <c r="Z39" s="29" t="str">
        <f t="shared" si="6"/>
        <v/>
      </c>
      <c r="AA39" s="29" t="str">
        <f t="shared" si="6"/>
        <v/>
      </c>
      <c r="AB39" s="29" t="str">
        <f t="shared" si="6"/>
        <v/>
      </c>
      <c r="AC39" s="29" t="str">
        <f t="shared" si="6"/>
        <v/>
      </c>
      <c r="AD39" s="29" t="str">
        <f t="shared" si="6"/>
        <v/>
      </c>
      <c r="AE39" s="29" t="str">
        <f t="shared" si="6"/>
        <v/>
      </c>
      <c r="AF39" s="29" t="str">
        <f t="shared" si="6"/>
        <v/>
      </c>
      <c r="AG39" s="29" t="str">
        <f t="shared" si="6"/>
        <v/>
      </c>
      <c r="AH39" s="29" t="str">
        <f t="shared" si="6"/>
        <v/>
      </c>
      <c r="AI39" s="29">
        <f t="shared" si="6"/>
        <v>0</v>
      </c>
      <c r="AJ39" s="29"/>
      <c r="AK39" s="29"/>
      <c r="AL39" s="29"/>
      <c r="AM39" s="29"/>
      <c r="AN39" s="29"/>
      <c r="AO39" s="29"/>
      <c r="AP39" s="29"/>
      <c r="AQ39" s="29"/>
      <c r="AR39" s="29"/>
      <c r="AS39" s="29"/>
      <c r="AT39" s="29"/>
      <c r="AU39" s="29"/>
      <c r="AV39" s="29"/>
      <c r="AW39" s="29"/>
      <c r="AX39" s="29"/>
      <c r="AY39" s="29"/>
      <c r="AZ39" s="29"/>
      <c r="BA39" s="29"/>
      <c r="BB39" s="29"/>
      <c r="BC39" s="29"/>
      <c r="BD39" s="29"/>
      <c r="BE39" s="29"/>
      <c r="BF39" s="29"/>
      <c r="BG39" s="29"/>
      <c r="BH39" s="29"/>
      <c r="BI39" s="29"/>
      <c r="BJ39" s="29"/>
      <c r="BK39" s="29"/>
      <c r="BL39" s="29"/>
      <c r="BM39" s="29"/>
      <c r="BN39" s="29"/>
      <c r="BO39" s="29"/>
      <c r="BP39" s="29"/>
      <c r="BQ39" s="29"/>
      <c r="BR39" s="29"/>
      <c r="BS39" s="29"/>
      <c r="BT39" s="29"/>
      <c r="BU39" s="29"/>
      <c r="BV39" s="29"/>
      <c r="BW39" s="29"/>
      <c r="BX39" s="29"/>
      <c r="BY39" s="29"/>
      <c r="BZ39" s="29"/>
      <c r="CA39" s="29"/>
      <c r="CB39" s="29"/>
      <c r="CC39" s="29"/>
      <c r="CD39" s="29"/>
      <c r="CE39" s="29"/>
      <c r="CF39" s="29"/>
      <c r="CG39" s="29"/>
      <c r="CH39" s="29"/>
      <c r="CI39" s="29"/>
      <c r="CJ39" s="29"/>
      <c r="CK39" s="29"/>
      <c r="CL39" s="29"/>
      <c r="CM39" s="29"/>
      <c r="CN39" s="29"/>
      <c r="CO39" s="29"/>
      <c r="CP39" s="29"/>
      <c r="CQ39" s="29"/>
      <c r="CR39" s="29"/>
      <c r="CS39" s="30"/>
      <c r="CT39" s="30"/>
      <c r="CU39" s="30"/>
      <c r="CV39" s="30"/>
      <c r="CW39" s="30"/>
      <c r="CX39" s="30"/>
      <c r="CY39" s="30"/>
      <c r="CZ39" s="30"/>
      <c r="DA39" s="30"/>
      <c r="DB39" s="30"/>
      <c r="DC39" s="30"/>
      <c r="DD39" s="30"/>
      <c r="DE39" s="30"/>
      <c r="DF39" s="30"/>
      <c r="DG39" s="30"/>
      <c r="DH39" s="30"/>
      <c r="DI39" s="30"/>
      <c r="DJ39" s="31"/>
    </row>
    <row r="40" spans="1:114">
      <c r="A40" s="45">
        <v>200009</v>
      </c>
      <c r="B40" s="46" t="s">
        <v>277</v>
      </c>
      <c r="C40" s="46" t="s">
        <v>626</v>
      </c>
      <c r="D40" s="46" t="s">
        <v>1027</v>
      </c>
      <c r="E40" s="46" t="s">
        <v>299</v>
      </c>
      <c r="F40" s="46" t="s">
        <v>302</v>
      </c>
      <c r="G40" s="46"/>
      <c r="H40" s="46"/>
      <c r="I40" s="46"/>
      <c r="J40" s="46">
        <v>90</v>
      </c>
      <c r="K40" s="46">
        <v>0</v>
      </c>
      <c r="L40" s="46">
        <v>54</v>
      </c>
      <c r="M40" s="46">
        <v>9</v>
      </c>
      <c r="N40" s="46">
        <v>27</v>
      </c>
      <c r="O40" s="46">
        <f>SUM(テーブル1[[#This Row],[列11]:[列12]])</f>
        <v>36</v>
      </c>
      <c r="P40" s="46"/>
      <c r="Q40" s="46"/>
      <c r="R40" s="46">
        <f t="shared" si="1"/>
        <v>90</v>
      </c>
      <c r="S40" s="25">
        <f t="shared" si="2"/>
        <v>200009</v>
      </c>
      <c r="T40" s="25">
        <f>COUNTIF($V$4:V40,V40)</f>
        <v>3</v>
      </c>
      <c r="U40" s="25" t="str">
        <f>IF(T40=1,COUNTIF($T$4:T40,1),"")</f>
        <v/>
      </c>
      <c r="V40" s="26" t="str">
        <f>'施設状況(要更新)'!$E40&amp;'施設状況(要更新)'!$C40</f>
        <v>北区01保育所</v>
      </c>
      <c r="W40" s="26" t="str">
        <f>'施設状況(要更新)'!$F40</f>
        <v>アートチャイルドケア札幌百合が原</v>
      </c>
      <c r="X40" s="27">
        <v>36</v>
      </c>
      <c r="Y40" s="28" t="str">
        <f t="shared" si="6"/>
        <v>札幌市しせいかん保育園</v>
      </c>
      <c r="Z40" s="29" t="str">
        <f t="shared" si="6"/>
        <v/>
      </c>
      <c r="AA40" s="29" t="str">
        <f t="shared" si="6"/>
        <v/>
      </c>
      <c r="AB40" s="29" t="str">
        <f t="shared" si="6"/>
        <v/>
      </c>
      <c r="AC40" s="29" t="str">
        <f t="shared" si="6"/>
        <v/>
      </c>
      <c r="AD40" s="29" t="str">
        <f t="shared" si="6"/>
        <v/>
      </c>
      <c r="AE40" s="29" t="str">
        <f t="shared" si="6"/>
        <v/>
      </c>
      <c r="AF40" s="29" t="str">
        <f t="shared" si="6"/>
        <v/>
      </c>
      <c r="AG40" s="29" t="str">
        <f t="shared" si="6"/>
        <v/>
      </c>
      <c r="AH40" s="29" t="str">
        <f t="shared" si="6"/>
        <v/>
      </c>
      <c r="AI40" s="29">
        <f t="shared" si="6"/>
        <v>0</v>
      </c>
      <c r="AJ40" s="29"/>
      <c r="AK40" s="29"/>
      <c r="AL40" s="29"/>
      <c r="AM40" s="29"/>
      <c r="AN40" s="29"/>
      <c r="AO40" s="29"/>
      <c r="AP40" s="29"/>
      <c r="AQ40" s="29"/>
      <c r="AR40" s="29"/>
      <c r="AS40" s="29"/>
      <c r="AT40" s="29"/>
      <c r="AU40" s="29"/>
      <c r="AV40" s="29"/>
      <c r="AW40" s="29"/>
      <c r="AX40" s="29"/>
      <c r="AY40" s="29"/>
      <c r="AZ40" s="29"/>
      <c r="BA40" s="29"/>
      <c r="BB40" s="29"/>
      <c r="BC40" s="29"/>
      <c r="BD40" s="29"/>
      <c r="BE40" s="29"/>
      <c r="BF40" s="29"/>
      <c r="BG40" s="29"/>
      <c r="BH40" s="29"/>
      <c r="BI40" s="29"/>
      <c r="BJ40" s="29"/>
      <c r="BK40" s="29"/>
      <c r="BL40" s="29"/>
      <c r="BM40" s="29"/>
      <c r="BN40" s="29"/>
      <c r="BO40" s="29"/>
      <c r="BP40" s="29"/>
      <c r="BQ40" s="29"/>
      <c r="BR40" s="29"/>
      <c r="BS40" s="29"/>
      <c r="BT40" s="29"/>
      <c r="BU40" s="29"/>
      <c r="BV40" s="29"/>
      <c r="BW40" s="29"/>
      <c r="BX40" s="29"/>
      <c r="BY40" s="29"/>
      <c r="BZ40" s="29"/>
      <c r="CA40" s="29"/>
      <c r="CB40" s="29"/>
      <c r="CC40" s="29"/>
      <c r="CD40" s="29"/>
      <c r="CE40" s="29"/>
      <c r="CF40" s="29"/>
      <c r="CG40" s="29"/>
      <c r="CH40" s="29"/>
      <c r="CI40" s="29"/>
      <c r="CJ40" s="29"/>
      <c r="CK40" s="29"/>
      <c r="CL40" s="29"/>
      <c r="CM40" s="29"/>
      <c r="CN40" s="29"/>
      <c r="CO40" s="29"/>
      <c r="CP40" s="29"/>
      <c r="CQ40" s="29"/>
      <c r="CR40" s="29"/>
      <c r="CS40" s="30"/>
      <c r="CT40" s="30"/>
      <c r="CU40" s="30"/>
      <c r="CV40" s="30"/>
      <c r="CW40" s="30"/>
      <c r="CX40" s="30"/>
      <c r="CY40" s="30"/>
      <c r="CZ40" s="30"/>
      <c r="DA40" s="30"/>
      <c r="DB40" s="30"/>
      <c r="DC40" s="30"/>
      <c r="DD40" s="30"/>
      <c r="DE40" s="30"/>
      <c r="DF40" s="30"/>
      <c r="DG40" s="30"/>
      <c r="DH40" s="30"/>
      <c r="DI40" s="30"/>
      <c r="DJ40" s="31"/>
    </row>
    <row r="41" spans="1:114">
      <c r="A41" s="45">
        <v>200010</v>
      </c>
      <c r="B41" s="46" t="s">
        <v>277</v>
      </c>
      <c r="C41" s="46" t="s">
        <v>626</v>
      </c>
      <c r="D41" s="46" t="s">
        <v>1027</v>
      </c>
      <c r="E41" s="46" t="s">
        <v>299</v>
      </c>
      <c r="F41" s="46" t="s">
        <v>303</v>
      </c>
      <c r="G41" s="46"/>
      <c r="H41" s="46"/>
      <c r="I41" s="46"/>
      <c r="J41" s="46">
        <v>90</v>
      </c>
      <c r="K41" s="46">
        <v>0</v>
      </c>
      <c r="L41" s="46">
        <v>51</v>
      </c>
      <c r="M41" s="46">
        <v>9</v>
      </c>
      <c r="N41" s="46">
        <v>30</v>
      </c>
      <c r="O41" s="46">
        <f>SUM(テーブル1[[#This Row],[列11]:[列12]])</f>
        <v>39</v>
      </c>
      <c r="P41" s="46"/>
      <c r="Q41" s="46"/>
      <c r="R41" s="46">
        <f t="shared" si="1"/>
        <v>90</v>
      </c>
      <c r="S41" s="25">
        <f t="shared" si="2"/>
        <v>200010</v>
      </c>
      <c r="T41" s="25">
        <f>COUNTIF($V$4:V41,V41)</f>
        <v>4</v>
      </c>
      <c r="U41" s="25" t="str">
        <f>IF(T41=1,COUNTIF($T$4:T41,1),"")</f>
        <v/>
      </c>
      <c r="V41" s="26" t="str">
        <f>'施設状況(要更新)'!$E41&amp;'施設状況(要更新)'!$C41</f>
        <v>北区01保育所</v>
      </c>
      <c r="W41" s="26" t="str">
        <f>'施設状況(要更新)'!$F41</f>
        <v>新琴似南保育園</v>
      </c>
      <c r="X41" s="27">
        <v>37</v>
      </c>
      <c r="Y41" s="28" t="str">
        <f t="shared" si="6"/>
        <v/>
      </c>
      <c r="Z41" s="29" t="str">
        <f t="shared" si="6"/>
        <v/>
      </c>
      <c r="AA41" s="29" t="str">
        <f t="shared" si="6"/>
        <v/>
      </c>
      <c r="AB41" s="29" t="str">
        <f t="shared" si="6"/>
        <v/>
      </c>
      <c r="AC41" s="29" t="str">
        <f t="shared" si="6"/>
        <v/>
      </c>
      <c r="AD41" s="29" t="str">
        <f t="shared" si="6"/>
        <v/>
      </c>
      <c r="AE41" s="29" t="str">
        <f t="shared" si="6"/>
        <v/>
      </c>
      <c r="AF41" s="29" t="str">
        <f t="shared" si="6"/>
        <v/>
      </c>
      <c r="AG41" s="29" t="str">
        <f t="shared" si="6"/>
        <v/>
      </c>
      <c r="AH41" s="29" t="str">
        <f t="shared" si="6"/>
        <v/>
      </c>
      <c r="AI41" s="29">
        <f t="shared" si="6"/>
        <v>0</v>
      </c>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30"/>
      <c r="CT41" s="30"/>
      <c r="CU41" s="30"/>
      <c r="CV41" s="30"/>
      <c r="CW41" s="30"/>
      <c r="CX41" s="30"/>
      <c r="CY41" s="30"/>
      <c r="CZ41" s="30"/>
      <c r="DA41" s="30"/>
      <c r="DB41" s="30"/>
      <c r="DC41" s="30"/>
      <c r="DD41" s="30"/>
      <c r="DE41" s="30"/>
      <c r="DF41" s="30"/>
      <c r="DG41" s="30"/>
      <c r="DH41" s="30"/>
      <c r="DI41" s="30"/>
      <c r="DJ41" s="31"/>
    </row>
    <row r="42" spans="1:114">
      <c r="A42" s="45">
        <v>200013</v>
      </c>
      <c r="B42" s="46" t="s">
        <v>277</v>
      </c>
      <c r="C42" s="46" t="s">
        <v>626</v>
      </c>
      <c r="D42" s="46" t="s">
        <v>1027</v>
      </c>
      <c r="E42" s="46" t="s">
        <v>299</v>
      </c>
      <c r="F42" s="46" t="s">
        <v>304</v>
      </c>
      <c r="G42" s="46"/>
      <c r="H42" s="46"/>
      <c r="I42" s="46"/>
      <c r="J42" s="46">
        <v>120</v>
      </c>
      <c r="K42" s="46">
        <v>0</v>
      </c>
      <c r="L42" s="46">
        <v>54</v>
      </c>
      <c r="M42" s="46">
        <v>10</v>
      </c>
      <c r="N42" s="46">
        <v>36</v>
      </c>
      <c r="O42" s="46">
        <f>SUM(テーブル1[[#This Row],[列11]:[列12]])</f>
        <v>46</v>
      </c>
      <c r="P42" s="46"/>
      <c r="Q42" s="46"/>
      <c r="R42" s="46">
        <f t="shared" si="1"/>
        <v>100</v>
      </c>
      <c r="S42" s="25">
        <f t="shared" si="2"/>
        <v>200013</v>
      </c>
      <c r="T42" s="25">
        <f>COUNTIF($V$4:V42,V42)</f>
        <v>5</v>
      </c>
      <c r="U42" s="25" t="str">
        <f>IF(T42=1,COUNTIF($T$4:T42,1),"")</f>
        <v/>
      </c>
      <c r="V42" s="26" t="str">
        <f>'施設状況(要更新)'!$E42&amp;'施設状況(要更新)'!$C42</f>
        <v>北区01保育所</v>
      </c>
      <c r="W42" s="26" t="str">
        <f>'施設状況(要更新)'!$F42</f>
        <v>屯田保育園</v>
      </c>
      <c r="X42" s="27">
        <v>38</v>
      </c>
      <c r="Y42" s="28" t="str">
        <f t="shared" si="6"/>
        <v/>
      </c>
      <c r="Z42" s="29" t="str">
        <f t="shared" si="6"/>
        <v/>
      </c>
      <c r="AA42" s="29" t="str">
        <f t="shared" si="6"/>
        <v/>
      </c>
      <c r="AB42" s="29" t="str">
        <f t="shared" si="6"/>
        <v/>
      </c>
      <c r="AC42" s="29" t="str">
        <f t="shared" si="6"/>
        <v/>
      </c>
      <c r="AD42" s="29" t="str">
        <f t="shared" si="6"/>
        <v/>
      </c>
      <c r="AE42" s="29" t="str">
        <f t="shared" si="6"/>
        <v/>
      </c>
      <c r="AF42" s="29" t="str">
        <f t="shared" si="6"/>
        <v/>
      </c>
      <c r="AG42" s="29" t="str">
        <f t="shared" si="6"/>
        <v/>
      </c>
      <c r="AH42" s="29" t="str">
        <f t="shared" si="6"/>
        <v/>
      </c>
      <c r="AI42" s="29">
        <f t="shared" si="6"/>
        <v>0</v>
      </c>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9"/>
      <c r="BP42" s="29"/>
      <c r="BQ42" s="29"/>
      <c r="BR42" s="29"/>
      <c r="BS42" s="29"/>
      <c r="BT42" s="29"/>
      <c r="BU42" s="29"/>
      <c r="BV42" s="29"/>
      <c r="BW42" s="29"/>
      <c r="BX42" s="29"/>
      <c r="BY42" s="29"/>
      <c r="BZ42" s="29"/>
      <c r="CA42" s="29"/>
      <c r="CB42" s="29"/>
      <c r="CC42" s="29"/>
      <c r="CD42" s="29"/>
      <c r="CE42" s="29"/>
      <c r="CF42" s="29"/>
      <c r="CG42" s="29"/>
      <c r="CH42" s="29"/>
      <c r="CI42" s="29"/>
      <c r="CJ42" s="29"/>
      <c r="CK42" s="29"/>
      <c r="CL42" s="29"/>
      <c r="CM42" s="29"/>
      <c r="CN42" s="29"/>
      <c r="CO42" s="29"/>
      <c r="CP42" s="29"/>
      <c r="CQ42" s="29"/>
      <c r="CR42" s="29"/>
      <c r="CS42" s="30"/>
      <c r="CT42" s="30"/>
      <c r="CU42" s="30"/>
      <c r="CV42" s="30"/>
      <c r="CW42" s="30"/>
      <c r="CX42" s="30"/>
      <c r="CY42" s="30"/>
      <c r="CZ42" s="30"/>
      <c r="DA42" s="30"/>
      <c r="DB42" s="30"/>
      <c r="DC42" s="30"/>
      <c r="DD42" s="30"/>
      <c r="DE42" s="30"/>
      <c r="DF42" s="30"/>
      <c r="DG42" s="30"/>
      <c r="DH42" s="30"/>
      <c r="DI42" s="30"/>
      <c r="DJ42" s="31"/>
    </row>
    <row r="43" spans="1:114">
      <c r="A43" s="45">
        <v>200015</v>
      </c>
      <c r="B43" s="46" t="s">
        <v>277</v>
      </c>
      <c r="C43" s="46" t="s">
        <v>626</v>
      </c>
      <c r="D43" s="46" t="s">
        <v>1027</v>
      </c>
      <c r="E43" s="46" t="s">
        <v>299</v>
      </c>
      <c r="F43" s="46" t="s">
        <v>305</v>
      </c>
      <c r="G43" s="46"/>
      <c r="H43" s="46"/>
      <c r="I43" s="46"/>
      <c r="J43" s="46">
        <v>90</v>
      </c>
      <c r="K43" s="46">
        <v>0</v>
      </c>
      <c r="L43" s="46">
        <v>50</v>
      </c>
      <c r="M43" s="46">
        <v>10</v>
      </c>
      <c r="N43" s="46">
        <v>30</v>
      </c>
      <c r="O43" s="46">
        <f>SUM(テーブル1[[#This Row],[列11]:[列12]])</f>
        <v>40</v>
      </c>
      <c r="P43" s="46"/>
      <c r="Q43" s="46"/>
      <c r="R43" s="46">
        <f t="shared" si="1"/>
        <v>90</v>
      </c>
      <c r="S43" s="25">
        <f t="shared" si="2"/>
        <v>200015</v>
      </c>
      <c r="T43" s="25">
        <f>COUNTIF($V$4:V43,V43)</f>
        <v>6</v>
      </c>
      <c r="U43" s="25" t="str">
        <f>IF(T43=1,COUNTIF($T$4:T43,1),"")</f>
        <v/>
      </c>
      <c r="V43" s="26" t="str">
        <f>'施設状況(要更新)'!$E43&amp;'施設状況(要更新)'!$C43</f>
        <v>北区01保育所</v>
      </c>
      <c r="W43" s="26" t="str">
        <f>'施設状況(要更新)'!$F43</f>
        <v>愛和えるむ保育園</v>
      </c>
      <c r="X43" s="27">
        <v>39</v>
      </c>
      <c r="Y43" s="28" t="str">
        <f t="shared" si="6"/>
        <v/>
      </c>
      <c r="Z43" s="29" t="str">
        <f t="shared" si="6"/>
        <v/>
      </c>
      <c r="AA43" s="29" t="str">
        <f t="shared" si="6"/>
        <v/>
      </c>
      <c r="AB43" s="29" t="str">
        <f t="shared" si="6"/>
        <v/>
      </c>
      <c r="AC43" s="29" t="str">
        <f t="shared" si="6"/>
        <v/>
      </c>
      <c r="AD43" s="29" t="str">
        <f t="shared" si="6"/>
        <v/>
      </c>
      <c r="AE43" s="29" t="str">
        <f t="shared" si="6"/>
        <v/>
      </c>
      <c r="AF43" s="29" t="str">
        <f t="shared" si="6"/>
        <v/>
      </c>
      <c r="AG43" s="29" t="str">
        <f t="shared" si="6"/>
        <v/>
      </c>
      <c r="AH43" s="29" t="str">
        <f t="shared" si="6"/>
        <v/>
      </c>
      <c r="AI43" s="29">
        <f t="shared" si="6"/>
        <v>0</v>
      </c>
      <c r="AJ43" s="29"/>
      <c r="AK43" s="29"/>
      <c r="AL43" s="29"/>
      <c r="AM43" s="29"/>
      <c r="AN43" s="29"/>
      <c r="AO43" s="29"/>
      <c r="AP43" s="29"/>
      <c r="AQ43" s="29"/>
      <c r="AR43" s="29"/>
      <c r="AS43" s="29"/>
      <c r="AT43" s="29"/>
      <c r="AU43" s="29"/>
      <c r="AV43" s="29"/>
      <c r="AW43" s="29"/>
      <c r="AX43" s="29"/>
      <c r="AY43" s="29"/>
      <c r="AZ43" s="29"/>
      <c r="BA43" s="29"/>
      <c r="BB43" s="29"/>
      <c r="BC43" s="29"/>
      <c r="BD43" s="29"/>
      <c r="BE43" s="29"/>
      <c r="BF43" s="29"/>
      <c r="BG43" s="29"/>
      <c r="BH43" s="29"/>
      <c r="BI43" s="29"/>
      <c r="BJ43" s="29"/>
      <c r="BK43" s="29"/>
      <c r="BL43" s="29"/>
      <c r="BM43" s="29"/>
      <c r="BN43" s="29"/>
      <c r="BO43" s="29"/>
      <c r="BP43" s="29"/>
      <c r="BQ43" s="29"/>
      <c r="BR43" s="29"/>
      <c r="BS43" s="29"/>
      <c r="BT43" s="29"/>
      <c r="BU43" s="29"/>
      <c r="BV43" s="29"/>
      <c r="BW43" s="29"/>
      <c r="BX43" s="29"/>
      <c r="BY43" s="29"/>
      <c r="BZ43" s="29"/>
      <c r="CA43" s="29"/>
      <c r="CB43" s="29"/>
      <c r="CC43" s="29"/>
      <c r="CD43" s="29"/>
      <c r="CE43" s="29"/>
      <c r="CF43" s="29"/>
      <c r="CG43" s="29"/>
      <c r="CH43" s="29"/>
      <c r="CI43" s="29"/>
      <c r="CJ43" s="29"/>
      <c r="CK43" s="29"/>
      <c r="CL43" s="29"/>
      <c r="CM43" s="29"/>
      <c r="CN43" s="29"/>
      <c r="CO43" s="29"/>
      <c r="CP43" s="29"/>
      <c r="CQ43" s="29"/>
      <c r="CR43" s="29"/>
      <c r="CS43" s="30"/>
      <c r="CT43" s="30"/>
      <c r="CU43" s="30"/>
      <c r="CV43" s="30"/>
      <c r="CW43" s="30"/>
      <c r="CX43" s="30"/>
      <c r="CY43" s="30"/>
      <c r="CZ43" s="30"/>
      <c r="DA43" s="30"/>
      <c r="DB43" s="30"/>
      <c r="DC43" s="30"/>
      <c r="DD43" s="30"/>
      <c r="DE43" s="30"/>
      <c r="DF43" s="30"/>
      <c r="DG43" s="30"/>
      <c r="DH43" s="30"/>
      <c r="DI43" s="30"/>
      <c r="DJ43" s="31"/>
    </row>
    <row r="44" spans="1:114">
      <c r="A44" s="45">
        <v>200017</v>
      </c>
      <c r="B44" s="46" t="s">
        <v>277</v>
      </c>
      <c r="C44" s="46" t="s">
        <v>626</v>
      </c>
      <c r="D44" s="46" t="s">
        <v>1027</v>
      </c>
      <c r="E44" s="46" t="s">
        <v>299</v>
      </c>
      <c r="F44" s="46" t="s">
        <v>306</v>
      </c>
      <c r="G44" s="46"/>
      <c r="H44" s="46"/>
      <c r="I44" s="46"/>
      <c r="J44" s="46">
        <v>110</v>
      </c>
      <c r="K44" s="46">
        <v>0</v>
      </c>
      <c r="L44" s="46">
        <v>61</v>
      </c>
      <c r="M44" s="46">
        <v>13</v>
      </c>
      <c r="N44" s="46">
        <v>36</v>
      </c>
      <c r="O44" s="46">
        <f>SUM(テーブル1[[#This Row],[列11]:[列12]])</f>
        <v>49</v>
      </c>
      <c r="P44" s="46"/>
      <c r="Q44" s="46"/>
      <c r="R44" s="46">
        <f t="shared" si="1"/>
        <v>110</v>
      </c>
      <c r="S44" s="25">
        <f t="shared" si="2"/>
        <v>200017</v>
      </c>
      <c r="T44" s="25">
        <f>COUNTIF($V$4:V44,V44)</f>
        <v>7</v>
      </c>
      <c r="U44" s="25" t="str">
        <f>IF(T44=1,COUNTIF($T$4:T44,1),"")</f>
        <v/>
      </c>
      <c r="V44" s="26" t="str">
        <f>'施設状況(要更新)'!$E44&amp;'施設状況(要更新)'!$C44</f>
        <v>北区01保育所</v>
      </c>
      <c r="W44" s="26" t="str">
        <f>'施設状況(要更新)'!$F44</f>
        <v>幌北ゆりかご保育園</v>
      </c>
      <c r="X44" s="27">
        <v>40</v>
      </c>
      <c r="Y44" s="28" t="str">
        <f t="shared" si="6"/>
        <v/>
      </c>
      <c r="Z44" s="29" t="str">
        <f t="shared" si="6"/>
        <v/>
      </c>
      <c r="AA44" s="29" t="str">
        <f t="shared" si="6"/>
        <v/>
      </c>
      <c r="AB44" s="29" t="str">
        <f t="shared" si="6"/>
        <v/>
      </c>
      <c r="AC44" s="29" t="str">
        <f t="shared" si="6"/>
        <v/>
      </c>
      <c r="AD44" s="29" t="str">
        <f t="shared" si="6"/>
        <v/>
      </c>
      <c r="AE44" s="29" t="str">
        <f t="shared" si="6"/>
        <v/>
      </c>
      <c r="AF44" s="29" t="str">
        <f t="shared" si="6"/>
        <v/>
      </c>
      <c r="AG44" s="29" t="str">
        <f t="shared" si="6"/>
        <v/>
      </c>
      <c r="AH44" s="29" t="str">
        <f t="shared" si="6"/>
        <v/>
      </c>
      <c r="AI44" s="29">
        <f t="shared" si="6"/>
        <v>0</v>
      </c>
      <c r="AJ44" s="29"/>
      <c r="AK44" s="29"/>
      <c r="AL44" s="29"/>
      <c r="AM44" s="29"/>
      <c r="AN44" s="29"/>
      <c r="AO44" s="29"/>
      <c r="AP44" s="29"/>
      <c r="AQ44" s="29"/>
      <c r="AR44" s="29"/>
      <c r="AS44" s="29"/>
      <c r="AT44" s="29"/>
      <c r="AU44" s="29"/>
      <c r="AV44" s="29"/>
      <c r="AW44" s="29"/>
      <c r="AX44" s="29"/>
      <c r="AY44" s="29"/>
      <c r="AZ44" s="29"/>
      <c r="BA44" s="29"/>
      <c r="BB44" s="29"/>
      <c r="BC44" s="29"/>
      <c r="BD44" s="29"/>
      <c r="BE44" s="29"/>
      <c r="BF44" s="29"/>
      <c r="BG44" s="29"/>
      <c r="BH44" s="29"/>
      <c r="BI44" s="29"/>
      <c r="BJ44" s="29"/>
      <c r="BK44" s="29"/>
      <c r="BL44" s="29"/>
      <c r="BM44" s="29"/>
      <c r="BN44" s="29"/>
      <c r="BO44" s="29"/>
      <c r="BP44" s="29"/>
      <c r="BQ44" s="29"/>
      <c r="BR44" s="29"/>
      <c r="BS44" s="29"/>
      <c r="BT44" s="29"/>
      <c r="BU44" s="29"/>
      <c r="BV44" s="29"/>
      <c r="BW44" s="29"/>
      <c r="BX44" s="29"/>
      <c r="BY44" s="29"/>
      <c r="BZ44" s="29"/>
      <c r="CA44" s="29"/>
      <c r="CB44" s="29"/>
      <c r="CC44" s="29"/>
      <c r="CD44" s="29"/>
      <c r="CE44" s="29"/>
      <c r="CF44" s="29"/>
      <c r="CG44" s="29"/>
      <c r="CH44" s="29"/>
      <c r="CI44" s="29"/>
      <c r="CJ44" s="29"/>
      <c r="CK44" s="29"/>
      <c r="CL44" s="29"/>
      <c r="CM44" s="29"/>
      <c r="CN44" s="29"/>
      <c r="CO44" s="29"/>
      <c r="CP44" s="29"/>
      <c r="CQ44" s="29"/>
      <c r="CR44" s="29"/>
      <c r="CS44" s="30"/>
      <c r="CT44" s="30"/>
      <c r="CU44" s="30"/>
      <c r="CV44" s="30"/>
      <c r="CW44" s="30"/>
      <c r="CX44" s="30"/>
      <c r="CY44" s="30"/>
      <c r="CZ44" s="30"/>
      <c r="DA44" s="30"/>
      <c r="DB44" s="30"/>
      <c r="DC44" s="30"/>
      <c r="DD44" s="30"/>
      <c r="DE44" s="30"/>
      <c r="DF44" s="30"/>
      <c r="DG44" s="30"/>
      <c r="DH44" s="30"/>
      <c r="DI44" s="30"/>
      <c r="DJ44" s="31"/>
    </row>
    <row r="45" spans="1:114">
      <c r="A45" s="45">
        <v>200026</v>
      </c>
      <c r="B45" s="46" t="s">
        <v>277</v>
      </c>
      <c r="C45" s="46" t="s">
        <v>626</v>
      </c>
      <c r="D45" s="46" t="s">
        <v>1027</v>
      </c>
      <c r="E45" s="46" t="s">
        <v>299</v>
      </c>
      <c r="F45" s="46" t="s">
        <v>307</v>
      </c>
      <c r="G45" s="46"/>
      <c r="H45" s="46"/>
      <c r="I45" s="46"/>
      <c r="J45" s="46">
        <v>70</v>
      </c>
      <c r="K45" s="46">
        <v>0</v>
      </c>
      <c r="L45" s="46">
        <v>36</v>
      </c>
      <c r="M45" s="46">
        <v>8</v>
      </c>
      <c r="N45" s="46">
        <v>16</v>
      </c>
      <c r="O45" s="46">
        <f>SUM(テーブル1[[#This Row],[列11]:[列12]])</f>
        <v>24</v>
      </c>
      <c r="P45" s="46"/>
      <c r="Q45" s="46"/>
      <c r="R45" s="46">
        <f t="shared" si="1"/>
        <v>60</v>
      </c>
      <c r="S45" s="25">
        <f t="shared" si="2"/>
        <v>200026</v>
      </c>
      <c r="T45" s="25">
        <f>COUNTIF($V$4:V45,V45)</f>
        <v>8</v>
      </c>
      <c r="U45" s="25" t="str">
        <f>IF(T45=1,COUNTIF($T$4:T45,1),"")</f>
        <v/>
      </c>
      <c r="V45" s="26" t="str">
        <f>'施設状況(要更新)'!$E45&amp;'施設状況(要更新)'!$C45</f>
        <v>北区01保育所</v>
      </c>
      <c r="W45" s="26" t="str">
        <f>'施設状況(要更新)'!$F45</f>
        <v>札幌はこぶね保育園</v>
      </c>
      <c r="X45" s="27">
        <v>41</v>
      </c>
      <c r="Y45" s="28" t="str">
        <f t="shared" ref="Y45:AI54" si="7">IFERROR(INDEX($T$4:$W$678,MATCH($X45&amp;Y$3,INDEX($T$4:$T$678&amp;$V$4:$V$678,),0),MATCH("施設名",$T$3:$W$3,0)),"")</f>
        <v/>
      </c>
      <c r="Z45" s="29" t="str">
        <f t="shared" si="7"/>
        <v/>
      </c>
      <c r="AA45" s="29" t="str">
        <f t="shared" si="7"/>
        <v/>
      </c>
      <c r="AB45" s="29" t="str">
        <f t="shared" si="7"/>
        <v/>
      </c>
      <c r="AC45" s="29" t="str">
        <f t="shared" si="7"/>
        <v/>
      </c>
      <c r="AD45" s="29" t="str">
        <f t="shared" si="7"/>
        <v/>
      </c>
      <c r="AE45" s="29" t="str">
        <f t="shared" si="7"/>
        <v/>
      </c>
      <c r="AF45" s="29" t="str">
        <f t="shared" si="7"/>
        <v/>
      </c>
      <c r="AG45" s="29" t="str">
        <f t="shared" si="7"/>
        <v/>
      </c>
      <c r="AH45" s="29" t="str">
        <f t="shared" si="7"/>
        <v/>
      </c>
      <c r="AI45" s="29">
        <f t="shared" si="7"/>
        <v>0</v>
      </c>
      <c r="AJ45" s="29"/>
      <c r="AK45" s="29"/>
      <c r="AL45" s="29"/>
      <c r="AM45" s="29"/>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9"/>
      <c r="BN45" s="29"/>
      <c r="BO45" s="29"/>
      <c r="BP45" s="29"/>
      <c r="BQ45" s="29"/>
      <c r="BR45" s="29"/>
      <c r="BS45" s="29"/>
      <c r="BT45" s="29"/>
      <c r="BU45" s="29"/>
      <c r="BV45" s="29"/>
      <c r="BW45" s="29"/>
      <c r="BX45" s="29"/>
      <c r="BY45" s="29"/>
      <c r="BZ45" s="29"/>
      <c r="CA45" s="29"/>
      <c r="CB45" s="29"/>
      <c r="CC45" s="29"/>
      <c r="CD45" s="29"/>
      <c r="CE45" s="29"/>
      <c r="CF45" s="29"/>
      <c r="CG45" s="29"/>
      <c r="CH45" s="29"/>
      <c r="CI45" s="29"/>
      <c r="CJ45" s="29"/>
      <c r="CK45" s="29"/>
      <c r="CL45" s="29"/>
      <c r="CM45" s="29"/>
      <c r="CN45" s="29"/>
      <c r="CO45" s="29"/>
      <c r="CP45" s="29"/>
      <c r="CQ45" s="29"/>
      <c r="CR45" s="29"/>
      <c r="CS45" s="30"/>
      <c r="CT45" s="30"/>
      <c r="CU45" s="30"/>
      <c r="CV45" s="30"/>
      <c r="CW45" s="30"/>
      <c r="CX45" s="30"/>
      <c r="CY45" s="30"/>
      <c r="CZ45" s="30"/>
      <c r="DA45" s="30"/>
      <c r="DB45" s="30"/>
      <c r="DC45" s="30"/>
      <c r="DD45" s="30"/>
      <c r="DE45" s="30"/>
      <c r="DF45" s="30"/>
      <c r="DG45" s="30"/>
      <c r="DH45" s="30"/>
      <c r="DI45" s="30"/>
      <c r="DJ45" s="31"/>
    </row>
    <row r="46" spans="1:114">
      <c r="A46" s="45">
        <v>200029</v>
      </c>
      <c r="B46" s="46" t="s">
        <v>277</v>
      </c>
      <c r="C46" s="46" t="s">
        <v>626</v>
      </c>
      <c r="D46" s="46" t="s">
        <v>1027</v>
      </c>
      <c r="E46" s="46" t="s">
        <v>299</v>
      </c>
      <c r="F46" s="46" t="s">
        <v>308</v>
      </c>
      <c r="G46" s="46"/>
      <c r="H46" s="46"/>
      <c r="I46" s="46"/>
      <c r="J46" s="46">
        <v>70</v>
      </c>
      <c r="K46" s="46">
        <v>0</v>
      </c>
      <c r="L46" s="46">
        <v>39</v>
      </c>
      <c r="M46" s="46">
        <v>8</v>
      </c>
      <c r="N46" s="46">
        <v>23</v>
      </c>
      <c r="O46" s="46">
        <f>SUM(テーブル1[[#This Row],[列11]:[列12]])</f>
        <v>31</v>
      </c>
      <c r="P46" s="46"/>
      <c r="Q46" s="46"/>
      <c r="R46" s="46">
        <f t="shared" si="1"/>
        <v>70</v>
      </c>
      <c r="S46" s="25">
        <f t="shared" si="2"/>
        <v>200029</v>
      </c>
      <c r="T46" s="25">
        <f>COUNTIF($V$4:V46,V46)</f>
        <v>9</v>
      </c>
      <c r="U46" s="25" t="str">
        <f>IF(T46=1,COUNTIF($T$4:T46,1),"")</f>
        <v/>
      </c>
      <c r="V46" s="26" t="str">
        <f>'施設状況(要更新)'!$E46&amp;'施設状況(要更新)'!$C46</f>
        <v>北区01保育所</v>
      </c>
      <c r="W46" s="26" t="str">
        <f>'施設状況(要更新)'!$F46</f>
        <v>はぐくみ保育園</v>
      </c>
      <c r="X46" s="27">
        <v>42</v>
      </c>
      <c r="Y46" s="28" t="str">
        <f t="shared" si="7"/>
        <v/>
      </c>
      <c r="Z46" s="29" t="str">
        <f t="shared" si="7"/>
        <v/>
      </c>
      <c r="AA46" s="29" t="str">
        <f t="shared" si="7"/>
        <v/>
      </c>
      <c r="AB46" s="29" t="str">
        <f t="shared" si="7"/>
        <v/>
      </c>
      <c r="AC46" s="29" t="str">
        <f t="shared" si="7"/>
        <v/>
      </c>
      <c r="AD46" s="29" t="str">
        <f t="shared" si="7"/>
        <v/>
      </c>
      <c r="AE46" s="29" t="str">
        <f t="shared" si="7"/>
        <v/>
      </c>
      <c r="AF46" s="29" t="str">
        <f t="shared" si="7"/>
        <v/>
      </c>
      <c r="AG46" s="29" t="str">
        <f t="shared" si="7"/>
        <v/>
      </c>
      <c r="AH46" s="29" t="str">
        <f t="shared" si="7"/>
        <v/>
      </c>
      <c r="AI46" s="29">
        <f t="shared" si="7"/>
        <v>0</v>
      </c>
      <c r="AJ46" s="29"/>
      <c r="AK46" s="29"/>
      <c r="AL46" s="29"/>
      <c r="AM46" s="29"/>
      <c r="AN46" s="29"/>
      <c r="AO46" s="29"/>
      <c r="AP46" s="29"/>
      <c r="AQ46" s="29"/>
      <c r="AR46" s="29"/>
      <c r="AS46" s="29"/>
      <c r="AT46" s="29"/>
      <c r="AU46" s="29"/>
      <c r="AV46" s="29"/>
      <c r="AW46" s="29"/>
      <c r="AX46" s="29"/>
      <c r="AY46" s="29"/>
      <c r="AZ46" s="29"/>
      <c r="BA46" s="29"/>
      <c r="BB46" s="29"/>
      <c r="BC46" s="29"/>
      <c r="BD46" s="29"/>
      <c r="BE46" s="29"/>
      <c r="BF46" s="29"/>
      <c r="BG46" s="29"/>
      <c r="BH46" s="29"/>
      <c r="BI46" s="29"/>
      <c r="BJ46" s="29"/>
      <c r="BK46" s="29"/>
      <c r="BL46" s="29"/>
      <c r="BM46" s="29"/>
      <c r="BN46" s="29"/>
      <c r="BO46" s="29"/>
      <c r="BP46" s="29"/>
      <c r="BQ46" s="29"/>
      <c r="BR46" s="29"/>
      <c r="BS46" s="29"/>
      <c r="BT46" s="29"/>
      <c r="BU46" s="29"/>
      <c r="BV46" s="29"/>
      <c r="BW46" s="29"/>
      <c r="BX46" s="29"/>
      <c r="BY46" s="29"/>
      <c r="BZ46" s="29"/>
      <c r="CA46" s="29"/>
      <c r="CB46" s="29"/>
      <c r="CC46" s="29"/>
      <c r="CD46" s="29"/>
      <c r="CE46" s="29"/>
      <c r="CF46" s="29"/>
      <c r="CG46" s="29"/>
      <c r="CH46" s="29"/>
      <c r="CI46" s="29"/>
      <c r="CJ46" s="29"/>
      <c r="CK46" s="29"/>
      <c r="CL46" s="29"/>
      <c r="CM46" s="29"/>
      <c r="CN46" s="29"/>
      <c r="CO46" s="29"/>
      <c r="CP46" s="29"/>
      <c r="CQ46" s="29"/>
      <c r="CR46" s="29"/>
      <c r="CS46" s="30"/>
      <c r="CT46" s="30"/>
      <c r="CU46" s="30"/>
      <c r="CV46" s="30"/>
      <c r="CW46" s="30"/>
      <c r="CX46" s="30"/>
      <c r="CY46" s="30"/>
      <c r="CZ46" s="30"/>
      <c r="DA46" s="30"/>
      <c r="DB46" s="30"/>
      <c r="DC46" s="30"/>
      <c r="DD46" s="30"/>
      <c r="DE46" s="30"/>
      <c r="DF46" s="30"/>
      <c r="DG46" s="30"/>
      <c r="DH46" s="30"/>
      <c r="DI46" s="30"/>
      <c r="DJ46" s="31"/>
    </row>
    <row r="47" spans="1:114">
      <c r="A47" s="45">
        <v>200031</v>
      </c>
      <c r="B47" s="46" t="s">
        <v>277</v>
      </c>
      <c r="C47" s="46" t="s">
        <v>626</v>
      </c>
      <c r="D47" s="46" t="s">
        <v>1027</v>
      </c>
      <c r="E47" s="46" t="s">
        <v>299</v>
      </c>
      <c r="F47" s="46" t="s">
        <v>309</v>
      </c>
      <c r="G47" s="46"/>
      <c r="H47" s="46"/>
      <c r="I47" s="46"/>
      <c r="J47" s="46">
        <v>60</v>
      </c>
      <c r="K47" s="46">
        <v>0</v>
      </c>
      <c r="L47" s="46">
        <v>30</v>
      </c>
      <c r="M47" s="46">
        <v>10</v>
      </c>
      <c r="N47" s="46">
        <v>20</v>
      </c>
      <c r="O47" s="46">
        <f>SUM(テーブル1[[#This Row],[列11]:[列12]])</f>
        <v>30</v>
      </c>
      <c r="P47" s="46"/>
      <c r="Q47" s="46"/>
      <c r="R47" s="46">
        <f t="shared" si="1"/>
        <v>60</v>
      </c>
      <c r="S47" s="25">
        <f t="shared" si="2"/>
        <v>200031</v>
      </c>
      <c r="T47" s="25">
        <f>COUNTIF($V$4:V47,V47)</f>
        <v>10</v>
      </c>
      <c r="U47" s="25" t="str">
        <f>IF(T47=1,COUNTIF($T$4:T47,1),"")</f>
        <v/>
      </c>
      <c r="V47" s="26" t="str">
        <f>'施設状況(要更新)'!$E47&amp;'施設状況(要更新)'!$C47</f>
        <v>北区01保育所</v>
      </c>
      <c r="W47" s="26" t="str">
        <f>'施設状況(要更新)'!$F47</f>
        <v>子どもの園保育園</v>
      </c>
      <c r="X47" s="27">
        <v>43</v>
      </c>
      <c r="Y47" s="28" t="str">
        <f t="shared" si="7"/>
        <v/>
      </c>
      <c r="Z47" s="29" t="str">
        <f t="shared" si="7"/>
        <v/>
      </c>
      <c r="AA47" s="29" t="str">
        <f t="shared" si="7"/>
        <v/>
      </c>
      <c r="AB47" s="29" t="str">
        <f t="shared" si="7"/>
        <v/>
      </c>
      <c r="AC47" s="29" t="str">
        <f t="shared" si="7"/>
        <v/>
      </c>
      <c r="AD47" s="29" t="str">
        <f t="shared" si="7"/>
        <v/>
      </c>
      <c r="AE47" s="29" t="str">
        <f t="shared" si="7"/>
        <v/>
      </c>
      <c r="AF47" s="29" t="str">
        <f t="shared" si="7"/>
        <v/>
      </c>
      <c r="AG47" s="29" t="str">
        <f t="shared" si="7"/>
        <v/>
      </c>
      <c r="AH47" s="29" t="str">
        <f t="shared" si="7"/>
        <v/>
      </c>
      <c r="AI47" s="29">
        <f t="shared" si="7"/>
        <v>0</v>
      </c>
      <c r="AJ47" s="29"/>
      <c r="AK47" s="29"/>
      <c r="AL47" s="29"/>
      <c r="AM47" s="29"/>
      <c r="AN47" s="29"/>
      <c r="AO47" s="29"/>
      <c r="AP47" s="29"/>
      <c r="AQ47" s="29"/>
      <c r="AR47" s="29"/>
      <c r="AS47" s="29"/>
      <c r="AT47" s="29"/>
      <c r="AU47" s="29"/>
      <c r="AV47" s="29"/>
      <c r="AW47" s="29"/>
      <c r="AX47" s="29"/>
      <c r="AY47" s="29"/>
      <c r="AZ47" s="29"/>
      <c r="BA47" s="29"/>
      <c r="BB47" s="29"/>
      <c r="BC47" s="29"/>
      <c r="BD47" s="29"/>
      <c r="BE47" s="29"/>
      <c r="BF47" s="29"/>
      <c r="BG47" s="29"/>
      <c r="BH47" s="29"/>
      <c r="BI47" s="29"/>
      <c r="BJ47" s="29"/>
      <c r="BK47" s="29"/>
      <c r="BL47" s="29"/>
      <c r="BM47" s="29"/>
      <c r="BN47" s="29"/>
      <c r="BO47" s="29"/>
      <c r="BP47" s="29"/>
      <c r="BQ47" s="29"/>
      <c r="BR47" s="29"/>
      <c r="BS47" s="29"/>
      <c r="BT47" s="29"/>
      <c r="BU47" s="29"/>
      <c r="BV47" s="29"/>
      <c r="BW47" s="29"/>
      <c r="BX47" s="29"/>
      <c r="BY47" s="29"/>
      <c r="BZ47" s="29"/>
      <c r="CA47" s="29"/>
      <c r="CB47" s="29"/>
      <c r="CC47" s="29"/>
      <c r="CD47" s="29"/>
      <c r="CE47" s="29"/>
      <c r="CF47" s="29"/>
      <c r="CG47" s="29"/>
      <c r="CH47" s="29"/>
      <c r="CI47" s="29"/>
      <c r="CJ47" s="29"/>
      <c r="CK47" s="29"/>
      <c r="CL47" s="29"/>
      <c r="CM47" s="29"/>
      <c r="CN47" s="29"/>
      <c r="CO47" s="29"/>
      <c r="CP47" s="29"/>
      <c r="CQ47" s="29"/>
      <c r="CR47" s="29"/>
      <c r="CS47" s="30"/>
      <c r="CT47" s="30"/>
      <c r="CU47" s="30"/>
      <c r="CV47" s="30"/>
      <c r="CW47" s="30"/>
      <c r="CX47" s="30"/>
      <c r="CY47" s="30"/>
      <c r="CZ47" s="30"/>
      <c r="DA47" s="30"/>
      <c r="DB47" s="30"/>
      <c r="DC47" s="30"/>
      <c r="DD47" s="30"/>
      <c r="DE47" s="30"/>
      <c r="DF47" s="30"/>
      <c r="DG47" s="30"/>
      <c r="DH47" s="30"/>
      <c r="DI47" s="30"/>
      <c r="DJ47" s="31"/>
    </row>
    <row r="48" spans="1:114">
      <c r="A48" s="45">
        <v>200038</v>
      </c>
      <c r="B48" s="46" t="s">
        <v>277</v>
      </c>
      <c r="C48" s="46" t="s">
        <v>626</v>
      </c>
      <c r="D48" s="46" t="s">
        <v>1027</v>
      </c>
      <c r="E48" s="46" t="s">
        <v>299</v>
      </c>
      <c r="F48" s="46" t="s">
        <v>310</v>
      </c>
      <c r="G48" s="46"/>
      <c r="H48" s="46"/>
      <c r="I48" s="46"/>
      <c r="J48" s="46">
        <v>78</v>
      </c>
      <c r="K48" s="46">
        <v>0</v>
      </c>
      <c r="L48" s="46">
        <v>39</v>
      </c>
      <c r="M48" s="46">
        <v>9</v>
      </c>
      <c r="N48" s="46">
        <v>22</v>
      </c>
      <c r="O48" s="46">
        <f>SUM(テーブル1[[#This Row],[列11]:[列12]])</f>
        <v>31</v>
      </c>
      <c r="P48" s="46"/>
      <c r="Q48" s="46"/>
      <c r="R48" s="46">
        <f t="shared" si="1"/>
        <v>70</v>
      </c>
      <c r="S48" s="25">
        <f t="shared" si="2"/>
        <v>200038</v>
      </c>
      <c r="T48" s="25">
        <f>COUNTIF($V$4:V48,V48)</f>
        <v>11</v>
      </c>
      <c r="U48" s="25" t="str">
        <f>IF(T48=1,COUNTIF($T$4:T48,1),"")</f>
        <v/>
      </c>
      <c r="V48" s="26" t="str">
        <f>'施設状況(要更新)'!$E48&amp;'施設状況(要更新)'!$C48</f>
        <v>北区01保育所</v>
      </c>
      <c r="W48" s="26" t="str">
        <f>'施設状況(要更新)'!$F48</f>
        <v>アートチャイルドケア新琴似</v>
      </c>
      <c r="X48" s="27">
        <v>44</v>
      </c>
      <c r="Y48" s="28" t="str">
        <f t="shared" si="7"/>
        <v/>
      </c>
      <c r="Z48" s="29" t="str">
        <f t="shared" si="7"/>
        <v/>
      </c>
      <c r="AA48" s="29" t="str">
        <f t="shared" si="7"/>
        <v/>
      </c>
      <c r="AB48" s="29" t="str">
        <f t="shared" si="7"/>
        <v/>
      </c>
      <c r="AC48" s="29" t="str">
        <f t="shared" si="7"/>
        <v/>
      </c>
      <c r="AD48" s="29" t="str">
        <f t="shared" si="7"/>
        <v/>
      </c>
      <c r="AE48" s="29" t="str">
        <f t="shared" si="7"/>
        <v/>
      </c>
      <c r="AF48" s="29" t="str">
        <f t="shared" si="7"/>
        <v/>
      </c>
      <c r="AG48" s="29" t="str">
        <f t="shared" si="7"/>
        <v/>
      </c>
      <c r="AH48" s="29" t="str">
        <f t="shared" si="7"/>
        <v/>
      </c>
      <c r="AI48" s="29">
        <f t="shared" si="7"/>
        <v>0</v>
      </c>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29"/>
      <c r="BT48" s="29"/>
      <c r="BU48" s="29"/>
      <c r="BV48" s="29"/>
      <c r="BW48" s="29"/>
      <c r="BX48" s="29"/>
      <c r="BY48" s="29"/>
      <c r="BZ48" s="29"/>
      <c r="CA48" s="29"/>
      <c r="CB48" s="29"/>
      <c r="CC48" s="29"/>
      <c r="CD48" s="29"/>
      <c r="CE48" s="29"/>
      <c r="CF48" s="29"/>
      <c r="CG48" s="29"/>
      <c r="CH48" s="29"/>
      <c r="CI48" s="29"/>
      <c r="CJ48" s="29"/>
      <c r="CK48" s="29"/>
      <c r="CL48" s="29"/>
      <c r="CM48" s="29"/>
      <c r="CN48" s="29"/>
      <c r="CO48" s="29"/>
      <c r="CP48" s="29"/>
      <c r="CQ48" s="29"/>
      <c r="CR48" s="29"/>
      <c r="CS48" s="30"/>
      <c r="CT48" s="30"/>
      <c r="CU48" s="30"/>
      <c r="CV48" s="30"/>
      <c r="CW48" s="30"/>
      <c r="CX48" s="30"/>
      <c r="CY48" s="30"/>
      <c r="CZ48" s="30"/>
      <c r="DA48" s="30"/>
      <c r="DB48" s="30"/>
      <c r="DC48" s="30"/>
      <c r="DD48" s="30"/>
      <c r="DE48" s="30"/>
      <c r="DF48" s="30"/>
      <c r="DG48" s="30"/>
      <c r="DH48" s="30"/>
      <c r="DI48" s="30"/>
      <c r="DJ48" s="31"/>
    </row>
    <row r="49" spans="1:114">
      <c r="A49" s="45">
        <v>200041</v>
      </c>
      <c r="B49" s="46" t="s">
        <v>277</v>
      </c>
      <c r="C49" s="46" t="s">
        <v>626</v>
      </c>
      <c r="D49" s="46" t="s">
        <v>1027</v>
      </c>
      <c r="E49" s="46" t="s">
        <v>299</v>
      </c>
      <c r="F49" s="46" t="s">
        <v>311</v>
      </c>
      <c r="G49" s="46"/>
      <c r="H49" s="46"/>
      <c r="I49" s="46"/>
      <c r="J49" s="46">
        <v>70</v>
      </c>
      <c r="K49" s="46">
        <v>0</v>
      </c>
      <c r="L49" s="46">
        <v>36</v>
      </c>
      <c r="M49" s="46">
        <v>10</v>
      </c>
      <c r="N49" s="46">
        <v>24</v>
      </c>
      <c r="O49" s="46">
        <f>SUM(テーブル1[[#This Row],[列11]:[列12]])</f>
        <v>34</v>
      </c>
      <c r="P49" s="46"/>
      <c r="Q49" s="46"/>
      <c r="R49" s="46">
        <f t="shared" si="1"/>
        <v>70</v>
      </c>
      <c r="S49" s="25">
        <f t="shared" si="2"/>
        <v>200041</v>
      </c>
      <c r="T49" s="25">
        <f>COUNTIF($V$4:V49,V49)</f>
        <v>12</v>
      </c>
      <c r="U49" s="25" t="str">
        <f>IF(T49=1,COUNTIF($T$4:T49,1),"")</f>
        <v/>
      </c>
      <c r="V49" s="26" t="str">
        <f>'施設状況(要更新)'!$E49&amp;'施設状況(要更新)'!$C49</f>
        <v>北区01保育所</v>
      </c>
      <c r="W49" s="26" t="str">
        <f>'施設状況(要更新)'!$F49</f>
        <v>つばさ保育園</v>
      </c>
      <c r="X49" s="27">
        <v>45</v>
      </c>
      <c r="Y49" s="28" t="str">
        <f t="shared" si="7"/>
        <v/>
      </c>
      <c r="Z49" s="29" t="str">
        <f t="shared" si="7"/>
        <v/>
      </c>
      <c r="AA49" s="29" t="str">
        <f t="shared" si="7"/>
        <v/>
      </c>
      <c r="AB49" s="29" t="str">
        <f t="shared" si="7"/>
        <v/>
      </c>
      <c r="AC49" s="29" t="str">
        <f t="shared" si="7"/>
        <v/>
      </c>
      <c r="AD49" s="29" t="str">
        <f t="shared" si="7"/>
        <v/>
      </c>
      <c r="AE49" s="29" t="str">
        <f t="shared" si="7"/>
        <v/>
      </c>
      <c r="AF49" s="29" t="str">
        <f t="shared" si="7"/>
        <v/>
      </c>
      <c r="AG49" s="29" t="str">
        <f t="shared" si="7"/>
        <v/>
      </c>
      <c r="AH49" s="29" t="str">
        <f t="shared" si="7"/>
        <v/>
      </c>
      <c r="AI49" s="29">
        <f t="shared" si="7"/>
        <v>0</v>
      </c>
      <c r="AJ49" s="29"/>
      <c r="AK49" s="29"/>
      <c r="AL49" s="29"/>
      <c r="AM49" s="29"/>
      <c r="AN49" s="29"/>
      <c r="AO49" s="29"/>
      <c r="AP49" s="29"/>
      <c r="AQ49" s="29"/>
      <c r="AR49" s="29"/>
      <c r="AS49" s="29"/>
      <c r="AT49" s="29"/>
      <c r="AU49" s="29"/>
      <c r="AV49" s="29"/>
      <c r="AW49" s="29"/>
      <c r="AX49" s="29"/>
      <c r="AY49" s="29"/>
      <c r="AZ49" s="29"/>
      <c r="BA49" s="29"/>
      <c r="BB49" s="29"/>
      <c r="BC49" s="29"/>
      <c r="BD49" s="29"/>
      <c r="BE49" s="29"/>
      <c r="BF49" s="29"/>
      <c r="BG49" s="29"/>
      <c r="BH49" s="29"/>
      <c r="BI49" s="29"/>
      <c r="BJ49" s="29"/>
      <c r="BK49" s="29"/>
      <c r="BL49" s="29"/>
      <c r="BM49" s="29"/>
      <c r="BN49" s="29"/>
      <c r="BO49" s="29"/>
      <c r="BP49" s="29"/>
      <c r="BQ49" s="29"/>
      <c r="BR49" s="29"/>
      <c r="BS49" s="29"/>
      <c r="BT49" s="29"/>
      <c r="BU49" s="29"/>
      <c r="BV49" s="29"/>
      <c r="BW49" s="29"/>
      <c r="BX49" s="29"/>
      <c r="BY49" s="29"/>
      <c r="BZ49" s="29"/>
      <c r="CA49" s="29"/>
      <c r="CB49" s="29"/>
      <c r="CC49" s="29"/>
      <c r="CD49" s="29"/>
      <c r="CE49" s="29"/>
      <c r="CF49" s="29"/>
      <c r="CG49" s="29"/>
      <c r="CH49" s="29"/>
      <c r="CI49" s="29"/>
      <c r="CJ49" s="29"/>
      <c r="CK49" s="29"/>
      <c r="CL49" s="29"/>
      <c r="CM49" s="29"/>
      <c r="CN49" s="29"/>
      <c r="CO49" s="29"/>
      <c r="CP49" s="29"/>
      <c r="CQ49" s="29"/>
      <c r="CR49" s="29"/>
      <c r="CS49" s="30"/>
      <c r="CT49" s="30"/>
      <c r="CU49" s="30"/>
      <c r="CV49" s="30"/>
      <c r="CW49" s="30"/>
      <c r="CX49" s="30"/>
      <c r="CY49" s="30"/>
      <c r="CZ49" s="30"/>
      <c r="DA49" s="30"/>
      <c r="DB49" s="30"/>
      <c r="DC49" s="30"/>
      <c r="DD49" s="30"/>
      <c r="DE49" s="30"/>
      <c r="DF49" s="30"/>
      <c r="DG49" s="30"/>
      <c r="DH49" s="30"/>
      <c r="DI49" s="30"/>
      <c r="DJ49" s="31"/>
    </row>
    <row r="50" spans="1:114">
      <c r="A50" s="45">
        <v>200066</v>
      </c>
      <c r="B50" s="46" t="s">
        <v>277</v>
      </c>
      <c r="C50" s="46" t="s">
        <v>626</v>
      </c>
      <c r="D50" s="46" t="s">
        <v>1027</v>
      </c>
      <c r="E50" s="46" t="s">
        <v>299</v>
      </c>
      <c r="F50" s="46" t="s">
        <v>312</v>
      </c>
      <c r="G50" s="46"/>
      <c r="H50" s="46"/>
      <c r="I50" s="46"/>
      <c r="J50" s="46">
        <v>60</v>
      </c>
      <c r="K50" s="46">
        <v>0</v>
      </c>
      <c r="L50" s="46">
        <v>33</v>
      </c>
      <c r="M50" s="46">
        <v>6</v>
      </c>
      <c r="N50" s="46">
        <v>21</v>
      </c>
      <c r="O50" s="46">
        <f>SUM(テーブル1[[#This Row],[列11]:[列12]])</f>
        <v>27</v>
      </c>
      <c r="P50" s="46"/>
      <c r="Q50" s="46"/>
      <c r="R50" s="46">
        <f t="shared" si="1"/>
        <v>60</v>
      </c>
      <c r="S50" s="25">
        <f t="shared" si="2"/>
        <v>200066</v>
      </c>
      <c r="T50" s="25">
        <f>COUNTIF($V$4:V50,V50)</f>
        <v>13</v>
      </c>
      <c r="U50" s="25" t="str">
        <f>IF(T50=1,COUNTIF($T$4:T50,1),"")</f>
        <v/>
      </c>
      <c r="V50" s="26" t="str">
        <f>'施設状況(要更新)'!$E50&amp;'施設状況(要更新)'!$C50</f>
        <v>北区01保育所</v>
      </c>
      <c r="W50" s="26" t="str">
        <f>'施設状況(要更新)'!$F50</f>
        <v>アスク新琴似保育園</v>
      </c>
      <c r="X50" s="27">
        <v>46</v>
      </c>
      <c r="Y50" s="28" t="str">
        <f t="shared" si="7"/>
        <v/>
      </c>
      <c r="Z50" s="29" t="str">
        <f t="shared" si="7"/>
        <v/>
      </c>
      <c r="AA50" s="29" t="str">
        <f t="shared" si="7"/>
        <v/>
      </c>
      <c r="AB50" s="29" t="str">
        <f t="shared" si="7"/>
        <v/>
      </c>
      <c r="AC50" s="29" t="str">
        <f t="shared" si="7"/>
        <v/>
      </c>
      <c r="AD50" s="29" t="str">
        <f t="shared" si="7"/>
        <v/>
      </c>
      <c r="AE50" s="29" t="str">
        <f t="shared" si="7"/>
        <v/>
      </c>
      <c r="AF50" s="29" t="str">
        <f t="shared" si="7"/>
        <v/>
      </c>
      <c r="AG50" s="29" t="str">
        <f t="shared" si="7"/>
        <v/>
      </c>
      <c r="AH50" s="29" t="str">
        <f t="shared" si="7"/>
        <v/>
      </c>
      <c r="AI50" s="29">
        <f t="shared" si="7"/>
        <v>0</v>
      </c>
      <c r="AJ50" s="29"/>
      <c r="AK50" s="29"/>
      <c r="AL50" s="29"/>
      <c r="AM50" s="29"/>
      <c r="AN50" s="29"/>
      <c r="AO50" s="29"/>
      <c r="AP50" s="29"/>
      <c r="AQ50" s="29"/>
      <c r="AR50" s="29"/>
      <c r="AS50" s="29"/>
      <c r="AT50" s="29"/>
      <c r="AU50" s="29"/>
      <c r="AV50" s="29"/>
      <c r="AW50" s="29"/>
      <c r="AX50" s="29"/>
      <c r="AY50" s="29"/>
      <c r="AZ50" s="29"/>
      <c r="BA50" s="29"/>
      <c r="BB50" s="29"/>
      <c r="BC50" s="29"/>
      <c r="BD50" s="29"/>
      <c r="BE50" s="29"/>
      <c r="BF50" s="29"/>
      <c r="BG50" s="29"/>
      <c r="BH50" s="29"/>
      <c r="BI50" s="29"/>
      <c r="BJ50" s="29"/>
      <c r="BK50" s="29"/>
      <c r="BL50" s="29"/>
      <c r="BM50" s="29"/>
      <c r="BN50" s="29"/>
      <c r="BO50" s="29"/>
      <c r="BP50" s="29"/>
      <c r="BQ50" s="29"/>
      <c r="BR50" s="29"/>
      <c r="BS50" s="29"/>
      <c r="BT50" s="29"/>
      <c r="BU50" s="29"/>
      <c r="BV50" s="29"/>
      <c r="BW50" s="29"/>
      <c r="BX50" s="29"/>
      <c r="BY50" s="29"/>
      <c r="BZ50" s="29"/>
      <c r="CA50" s="29"/>
      <c r="CB50" s="29"/>
      <c r="CC50" s="29"/>
      <c r="CD50" s="29"/>
      <c r="CE50" s="29"/>
      <c r="CF50" s="29"/>
      <c r="CG50" s="29"/>
      <c r="CH50" s="29"/>
      <c r="CI50" s="29"/>
      <c r="CJ50" s="29"/>
      <c r="CK50" s="29"/>
      <c r="CL50" s="29"/>
      <c r="CM50" s="29"/>
      <c r="CN50" s="29"/>
      <c r="CO50" s="29"/>
      <c r="CP50" s="29"/>
      <c r="CQ50" s="29"/>
      <c r="CR50" s="29"/>
      <c r="CS50" s="30"/>
      <c r="CT50" s="30"/>
      <c r="CU50" s="30"/>
      <c r="CV50" s="30"/>
      <c r="CW50" s="30"/>
      <c r="CX50" s="30"/>
      <c r="CY50" s="30"/>
      <c r="CZ50" s="30"/>
      <c r="DA50" s="30"/>
      <c r="DB50" s="30"/>
      <c r="DC50" s="30"/>
      <c r="DD50" s="30"/>
      <c r="DE50" s="30"/>
      <c r="DF50" s="30"/>
      <c r="DG50" s="30"/>
      <c r="DH50" s="30"/>
      <c r="DI50" s="30"/>
      <c r="DJ50" s="31"/>
    </row>
    <row r="51" spans="1:114">
      <c r="A51" s="45">
        <v>200067</v>
      </c>
      <c r="B51" s="46" t="s">
        <v>277</v>
      </c>
      <c r="C51" s="46" t="s">
        <v>626</v>
      </c>
      <c r="D51" s="46" t="s">
        <v>1027</v>
      </c>
      <c r="E51" s="46" t="s">
        <v>299</v>
      </c>
      <c r="F51" s="46" t="s">
        <v>313</v>
      </c>
      <c r="G51" s="46"/>
      <c r="H51" s="46"/>
      <c r="I51" s="46"/>
      <c r="J51" s="46">
        <v>20</v>
      </c>
      <c r="K51" s="46">
        <v>0</v>
      </c>
      <c r="L51" s="46">
        <v>0</v>
      </c>
      <c r="M51" s="46">
        <v>6</v>
      </c>
      <c r="N51" s="46">
        <v>14</v>
      </c>
      <c r="O51" s="46">
        <f>SUM(テーブル1[[#This Row],[列11]:[列12]])</f>
        <v>20</v>
      </c>
      <c r="P51" s="46"/>
      <c r="Q51" s="46"/>
      <c r="R51" s="46">
        <f t="shared" si="1"/>
        <v>20</v>
      </c>
      <c r="S51" s="25">
        <f t="shared" si="2"/>
        <v>200067</v>
      </c>
      <c r="T51" s="25">
        <f>COUNTIF($V$4:V51,V51)</f>
        <v>14</v>
      </c>
      <c r="U51" s="25" t="str">
        <f>IF(T51=1,COUNTIF($T$4:T51,1),"")</f>
        <v/>
      </c>
      <c r="V51" s="26" t="str">
        <f>'施設状況(要更新)'!$E51&amp;'施設状況(要更新)'!$C51</f>
        <v>北区01保育所</v>
      </c>
      <c r="W51" s="26" t="str">
        <f>'施設状況(要更新)'!$F51</f>
        <v>アートチャイルドケア北大前</v>
      </c>
      <c r="X51" s="27">
        <v>47</v>
      </c>
      <c r="Y51" s="28" t="str">
        <f t="shared" si="7"/>
        <v/>
      </c>
      <c r="Z51" s="29" t="str">
        <f t="shared" si="7"/>
        <v/>
      </c>
      <c r="AA51" s="29" t="str">
        <f t="shared" si="7"/>
        <v/>
      </c>
      <c r="AB51" s="29" t="str">
        <f t="shared" si="7"/>
        <v/>
      </c>
      <c r="AC51" s="29" t="str">
        <f t="shared" si="7"/>
        <v/>
      </c>
      <c r="AD51" s="29" t="str">
        <f t="shared" si="7"/>
        <v/>
      </c>
      <c r="AE51" s="29" t="str">
        <f t="shared" si="7"/>
        <v/>
      </c>
      <c r="AF51" s="29" t="str">
        <f t="shared" si="7"/>
        <v/>
      </c>
      <c r="AG51" s="29" t="str">
        <f t="shared" si="7"/>
        <v/>
      </c>
      <c r="AH51" s="29" t="str">
        <f t="shared" si="7"/>
        <v/>
      </c>
      <c r="AI51" s="29">
        <f t="shared" si="7"/>
        <v>0</v>
      </c>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9"/>
      <c r="BK51" s="29"/>
      <c r="BL51" s="29"/>
      <c r="BM51" s="29"/>
      <c r="BN51" s="29"/>
      <c r="BO51" s="29"/>
      <c r="BP51" s="29"/>
      <c r="BQ51" s="29"/>
      <c r="BR51" s="29"/>
      <c r="BS51" s="29"/>
      <c r="BT51" s="29"/>
      <c r="BU51" s="29"/>
      <c r="BV51" s="29"/>
      <c r="BW51" s="29"/>
      <c r="BX51" s="29"/>
      <c r="BY51" s="29"/>
      <c r="BZ51" s="29"/>
      <c r="CA51" s="29"/>
      <c r="CB51" s="29"/>
      <c r="CC51" s="29"/>
      <c r="CD51" s="29"/>
      <c r="CE51" s="29"/>
      <c r="CF51" s="29"/>
      <c r="CG51" s="29"/>
      <c r="CH51" s="29"/>
      <c r="CI51" s="29"/>
      <c r="CJ51" s="29"/>
      <c r="CK51" s="29"/>
      <c r="CL51" s="29"/>
      <c r="CM51" s="29"/>
      <c r="CN51" s="29"/>
      <c r="CO51" s="29"/>
      <c r="CP51" s="29"/>
      <c r="CQ51" s="29"/>
      <c r="CR51" s="29"/>
      <c r="CS51" s="30"/>
      <c r="CT51" s="30"/>
      <c r="CU51" s="30"/>
      <c r="CV51" s="30"/>
      <c r="CW51" s="30"/>
      <c r="CX51" s="30"/>
      <c r="CY51" s="30"/>
      <c r="CZ51" s="30"/>
      <c r="DA51" s="30"/>
      <c r="DB51" s="30"/>
      <c r="DC51" s="30"/>
      <c r="DD51" s="30"/>
      <c r="DE51" s="30"/>
      <c r="DF51" s="30"/>
      <c r="DG51" s="30"/>
      <c r="DH51" s="30"/>
      <c r="DI51" s="30"/>
      <c r="DJ51" s="31"/>
    </row>
    <row r="52" spans="1:114">
      <c r="A52" s="45">
        <v>200090</v>
      </c>
      <c r="B52" s="46" t="s">
        <v>277</v>
      </c>
      <c r="C52" s="46" t="s">
        <v>626</v>
      </c>
      <c r="D52" s="46" t="s">
        <v>1027</v>
      </c>
      <c r="E52" s="46" t="s">
        <v>299</v>
      </c>
      <c r="F52" s="46" t="s">
        <v>314</v>
      </c>
      <c r="G52" s="46"/>
      <c r="H52" s="46"/>
      <c r="I52" s="46"/>
      <c r="J52" s="46">
        <v>30</v>
      </c>
      <c r="K52" s="46">
        <v>0</v>
      </c>
      <c r="L52" s="46">
        <v>16</v>
      </c>
      <c r="M52" s="46">
        <v>4</v>
      </c>
      <c r="N52" s="46">
        <v>10</v>
      </c>
      <c r="O52" s="46">
        <f>SUM(テーブル1[[#This Row],[列11]:[列12]])</f>
        <v>14</v>
      </c>
      <c r="P52" s="46"/>
      <c r="Q52" s="46"/>
      <c r="R52" s="46">
        <f t="shared" si="1"/>
        <v>30</v>
      </c>
      <c r="S52" s="25">
        <f t="shared" si="2"/>
        <v>200090</v>
      </c>
      <c r="T52" s="25">
        <f>COUNTIF($V$4:V52,V52)</f>
        <v>15</v>
      </c>
      <c r="U52" s="25" t="str">
        <f>IF(T52=1,COUNTIF($T$4:T52,1),"")</f>
        <v/>
      </c>
      <c r="V52" s="26" t="str">
        <f>'施設状況(要更新)'!$E52&amp;'施設状況(要更新)'!$C52</f>
        <v>北区01保育所</v>
      </c>
      <c r="W52" s="26" t="str">
        <f>'施設状況(要更新)'!$F52</f>
        <v>スクルドエンジェル保育園新琴似園</v>
      </c>
      <c r="X52" s="27">
        <v>48</v>
      </c>
      <c r="Y52" s="28" t="str">
        <f t="shared" si="7"/>
        <v/>
      </c>
      <c r="Z52" s="29" t="str">
        <f t="shared" si="7"/>
        <v/>
      </c>
      <c r="AA52" s="29" t="str">
        <f t="shared" si="7"/>
        <v/>
      </c>
      <c r="AB52" s="29" t="str">
        <f t="shared" si="7"/>
        <v/>
      </c>
      <c r="AC52" s="29" t="str">
        <f t="shared" si="7"/>
        <v/>
      </c>
      <c r="AD52" s="29" t="str">
        <f t="shared" si="7"/>
        <v/>
      </c>
      <c r="AE52" s="29" t="str">
        <f t="shared" si="7"/>
        <v/>
      </c>
      <c r="AF52" s="29" t="str">
        <f t="shared" si="7"/>
        <v/>
      </c>
      <c r="AG52" s="29" t="str">
        <f t="shared" si="7"/>
        <v/>
      </c>
      <c r="AH52" s="29" t="str">
        <f t="shared" si="7"/>
        <v/>
      </c>
      <c r="AI52" s="29">
        <f t="shared" si="7"/>
        <v>0</v>
      </c>
      <c r="AJ52" s="29"/>
      <c r="AK52" s="29"/>
      <c r="AL52" s="29"/>
      <c r="AM52" s="29"/>
      <c r="AN52" s="29"/>
      <c r="AO52" s="29"/>
      <c r="AP52" s="29"/>
      <c r="AQ52" s="29"/>
      <c r="AR52" s="29"/>
      <c r="AS52" s="29"/>
      <c r="AT52" s="29"/>
      <c r="AU52" s="29"/>
      <c r="AV52" s="29"/>
      <c r="AW52" s="29"/>
      <c r="AX52" s="29"/>
      <c r="AY52" s="29"/>
      <c r="AZ52" s="29"/>
      <c r="BA52" s="29"/>
      <c r="BB52" s="29"/>
      <c r="BC52" s="29"/>
      <c r="BD52" s="29"/>
      <c r="BE52" s="29"/>
      <c r="BF52" s="29"/>
      <c r="BG52" s="29"/>
      <c r="BH52" s="29"/>
      <c r="BI52" s="29"/>
      <c r="BJ52" s="29"/>
      <c r="BK52" s="29"/>
      <c r="BL52" s="29"/>
      <c r="BM52" s="29"/>
      <c r="BN52" s="29"/>
      <c r="BO52" s="29"/>
      <c r="BP52" s="29"/>
      <c r="BQ52" s="29"/>
      <c r="BR52" s="29"/>
      <c r="BS52" s="29"/>
      <c r="BT52" s="29"/>
      <c r="BU52" s="29"/>
      <c r="BV52" s="29"/>
      <c r="BW52" s="29"/>
      <c r="BX52" s="29"/>
      <c r="BY52" s="29"/>
      <c r="BZ52" s="29"/>
      <c r="CA52" s="29"/>
      <c r="CB52" s="29"/>
      <c r="CC52" s="29"/>
      <c r="CD52" s="29"/>
      <c r="CE52" s="29"/>
      <c r="CF52" s="29"/>
      <c r="CG52" s="29"/>
      <c r="CH52" s="29"/>
      <c r="CI52" s="29"/>
      <c r="CJ52" s="29"/>
      <c r="CK52" s="29"/>
      <c r="CL52" s="29"/>
      <c r="CM52" s="29"/>
      <c r="CN52" s="29"/>
      <c r="CO52" s="29"/>
      <c r="CP52" s="29"/>
      <c r="CQ52" s="29"/>
      <c r="CR52" s="29"/>
      <c r="CS52" s="30"/>
      <c r="CT52" s="30"/>
      <c r="CU52" s="30"/>
      <c r="CV52" s="30"/>
      <c r="CW52" s="30"/>
      <c r="CX52" s="30"/>
      <c r="CY52" s="30"/>
      <c r="CZ52" s="30"/>
      <c r="DA52" s="30"/>
      <c r="DB52" s="30"/>
      <c r="DC52" s="30"/>
      <c r="DD52" s="30"/>
      <c r="DE52" s="30"/>
      <c r="DF52" s="30"/>
      <c r="DG52" s="30"/>
      <c r="DH52" s="30"/>
      <c r="DI52" s="30"/>
      <c r="DJ52" s="31"/>
    </row>
    <row r="53" spans="1:114">
      <c r="A53" s="45">
        <v>200099</v>
      </c>
      <c r="B53" s="46" t="s">
        <v>277</v>
      </c>
      <c r="C53" s="46" t="s">
        <v>626</v>
      </c>
      <c r="D53" s="46" t="s">
        <v>1027</v>
      </c>
      <c r="E53" s="46" t="s">
        <v>299</v>
      </c>
      <c r="F53" s="46" t="s">
        <v>1038</v>
      </c>
      <c r="G53" s="46"/>
      <c r="H53" s="46"/>
      <c r="I53" s="46"/>
      <c r="J53" s="46">
        <v>50</v>
      </c>
      <c r="K53" s="46">
        <v>0</v>
      </c>
      <c r="L53" s="46">
        <v>27</v>
      </c>
      <c r="M53" s="46">
        <v>5</v>
      </c>
      <c r="N53" s="46">
        <v>18</v>
      </c>
      <c r="O53" s="46">
        <f>SUM(テーブル1[[#This Row],[列11]:[列12]])</f>
        <v>23</v>
      </c>
      <c r="P53" s="46"/>
      <c r="Q53" s="46"/>
      <c r="R53" s="46">
        <f t="shared" si="1"/>
        <v>50</v>
      </c>
      <c r="S53" s="25">
        <f t="shared" si="2"/>
        <v>200099</v>
      </c>
      <c r="T53" s="25">
        <f>COUNTIF($V$4:V53,V53)</f>
        <v>16</v>
      </c>
      <c r="U53" s="25" t="str">
        <f>IF(T53=1,COUNTIF($T$4:T53,1),"")</f>
        <v/>
      </c>
      <c r="V53" s="26" t="str">
        <f>'施設状況(要更新)'!$E53&amp;'施設状況(要更新)'!$C53</f>
        <v>北区01保育所</v>
      </c>
      <c r="W53" s="26" t="str">
        <f>'施設状況(要更新)'!$F53</f>
        <v>ニチイキッズさっぽろ保育園</v>
      </c>
      <c r="X53" s="27">
        <v>49</v>
      </c>
      <c r="Y53" s="28" t="str">
        <f t="shared" si="7"/>
        <v/>
      </c>
      <c r="Z53" s="29" t="str">
        <f t="shared" si="7"/>
        <v/>
      </c>
      <c r="AA53" s="29" t="str">
        <f t="shared" si="7"/>
        <v/>
      </c>
      <c r="AB53" s="29" t="str">
        <f t="shared" si="7"/>
        <v/>
      </c>
      <c r="AC53" s="29" t="str">
        <f t="shared" si="7"/>
        <v/>
      </c>
      <c r="AD53" s="29" t="str">
        <f t="shared" si="7"/>
        <v/>
      </c>
      <c r="AE53" s="29" t="str">
        <f t="shared" si="7"/>
        <v/>
      </c>
      <c r="AF53" s="29" t="str">
        <f t="shared" si="7"/>
        <v/>
      </c>
      <c r="AG53" s="29" t="str">
        <f t="shared" si="7"/>
        <v/>
      </c>
      <c r="AH53" s="29" t="str">
        <f t="shared" si="7"/>
        <v/>
      </c>
      <c r="AI53" s="29">
        <f t="shared" si="7"/>
        <v>0</v>
      </c>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29"/>
      <c r="BZ53" s="29"/>
      <c r="CA53" s="29"/>
      <c r="CB53" s="29"/>
      <c r="CC53" s="29"/>
      <c r="CD53" s="29"/>
      <c r="CE53" s="29"/>
      <c r="CF53" s="29"/>
      <c r="CG53" s="29"/>
      <c r="CH53" s="29"/>
      <c r="CI53" s="29"/>
      <c r="CJ53" s="29"/>
      <c r="CK53" s="29"/>
      <c r="CL53" s="29"/>
      <c r="CM53" s="29"/>
      <c r="CN53" s="29"/>
      <c r="CO53" s="29"/>
      <c r="CP53" s="29"/>
      <c r="CQ53" s="29"/>
      <c r="CR53" s="29"/>
      <c r="CS53" s="30"/>
      <c r="CT53" s="30"/>
      <c r="CU53" s="30"/>
      <c r="CV53" s="30"/>
      <c r="CW53" s="30"/>
      <c r="CX53" s="30"/>
      <c r="CY53" s="30"/>
      <c r="CZ53" s="30"/>
      <c r="DA53" s="30"/>
      <c r="DB53" s="30"/>
      <c r="DC53" s="30"/>
      <c r="DD53" s="30"/>
      <c r="DE53" s="30"/>
      <c r="DF53" s="30"/>
      <c r="DG53" s="30"/>
      <c r="DH53" s="30"/>
      <c r="DI53" s="30"/>
      <c r="DJ53" s="31"/>
    </row>
    <row r="54" spans="1:114">
      <c r="A54" s="45">
        <v>200107</v>
      </c>
      <c r="B54" s="46" t="s">
        <v>277</v>
      </c>
      <c r="C54" s="46" t="s">
        <v>626</v>
      </c>
      <c r="D54" s="46" t="s">
        <v>1027</v>
      </c>
      <c r="E54" s="46" t="s">
        <v>299</v>
      </c>
      <c r="F54" s="46" t="s">
        <v>1039</v>
      </c>
      <c r="G54" s="46"/>
      <c r="H54" s="46"/>
      <c r="I54" s="46"/>
      <c r="J54" s="46">
        <v>40</v>
      </c>
      <c r="K54" s="46">
        <v>0</v>
      </c>
      <c r="L54" s="46">
        <v>24</v>
      </c>
      <c r="M54" s="46">
        <v>2</v>
      </c>
      <c r="N54" s="46">
        <v>14</v>
      </c>
      <c r="O54" s="46">
        <f>SUM(テーブル1[[#This Row],[列11]:[列12]])</f>
        <v>16</v>
      </c>
      <c r="P54" s="46"/>
      <c r="Q54" s="46"/>
      <c r="R54" s="46">
        <f t="shared" si="1"/>
        <v>40</v>
      </c>
      <c r="S54" s="25">
        <f t="shared" si="2"/>
        <v>200107</v>
      </c>
      <c r="T54" s="25">
        <f>COUNTIF($V$4:V54,V54)</f>
        <v>17</v>
      </c>
      <c r="U54" s="25" t="str">
        <f>IF(T54=1,COUNTIF($T$4:T54,1),"")</f>
        <v/>
      </c>
      <c r="V54" s="26" t="str">
        <f>'施設状況(要更新)'!$E54&amp;'施設状況(要更新)'!$C54</f>
        <v>北区01保育所</v>
      </c>
      <c r="W54" s="26" t="str">
        <f>'施設状況(要更新)'!$F54</f>
        <v>保育所おーるまいてぃ屯田園</v>
      </c>
      <c r="X54" s="27">
        <v>50</v>
      </c>
      <c r="Y54" s="35" t="str">
        <f t="shared" si="7"/>
        <v/>
      </c>
      <c r="Z54" s="36" t="str">
        <f t="shared" si="7"/>
        <v/>
      </c>
      <c r="AA54" s="36" t="str">
        <f t="shared" si="7"/>
        <v/>
      </c>
      <c r="AB54" s="37" t="str">
        <f t="shared" si="7"/>
        <v/>
      </c>
      <c r="AC54" s="37" t="str">
        <f t="shared" si="7"/>
        <v/>
      </c>
      <c r="AD54" s="37" t="str">
        <f t="shared" si="7"/>
        <v/>
      </c>
      <c r="AE54" s="37" t="str">
        <f t="shared" si="7"/>
        <v/>
      </c>
      <c r="AF54" s="36" t="str">
        <f t="shared" si="7"/>
        <v/>
      </c>
      <c r="AG54" s="37" t="str">
        <f t="shared" si="7"/>
        <v/>
      </c>
      <c r="AH54" s="30" t="str">
        <f t="shared" si="7"/>
        <v/>
      </c>
      <c r="AI54" s="30">
        <f t="shared" si="7"/>
        <v>0</v>
      </c>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30"/>
      <c r="BN54" s="30"/>
      <c r="BO54" s="30"/>
      <c r="BP54" s="30"/>
      <c r="BQ54" s="30"/>
      <c r="BR54" s="30"/>
      <c r="BS54" s="30"/>
      <c r="BT54" s="30"/>
      <c r="BU54" s="30"/>
      <c r="BV54" s="30"/>
      <c r="BW54" s="30"/>
      <c r="BX54" s="30"/>
      <c r="BY54" s="30"/>
      <c r="BZ54" s="30"/>
      <c r="CA54" s="30"/>
      <c r="CB54" s="30"/>
      <c r="CC54" s="30"/>
      <c r="CD54" s="30"/>
      <c r="CE54" s="30"/>
      <c r="CF54" s="30"/>
      <c r="CG54" s="30"/>
      <c r="CH54" s="30"/>
      <c r="CI54" s="30"/>
      <c r="CJ54" s="30"/>
      <c r="CK54" s="30"/>
      <c r="CL54" s="30"/>
      <c r="CM54" s="30"/>
      <c r="CN54" s="30"/>
      <c r="CO54" s="30"/>
      <c r="CP54" s="30"/>
      <c r="CQ54" s="30"/>
      <c r="CR54" s="30"/>
      <c r="CS54" s="30"/>
      <c r="CT54" s="30"/>
      <c r="CU54" s="30"/>
      <c r="CV54" s="30"/>
      <c r="CW54" s="30"/>
      <c r="CX54" s="30"/>
      <c r="CY54" s="30"/>
      <c r="CZ54" s="30"/>
      <c r="DA54" s="30"/>
      <c r="DB54" s="30"/>
      <c r="DC54" s="30"/>
      <c r="DD54" s="30"/>
      <c r="DE54" s="30"/>
      <c r="DF54" s="30"/>
      <c r="DG54" s="30"/>
      <c r="DH54" s="30"/>
      <c r="DI54" s="30"/>
      <c r="DJ54" s="31"/>
    </row>
    <row r="55" spans="1:114">
      <c r="A55" s="45">
        <v>200117</v>
      </c>
      <c r="B55" s="46" t="s">
        <v>277</v>
      </c>
      <c r="C55" s="46" t="s">
        <v>626</v>
      </c>
      <c r="D55" s="46" t="s">
        <v>1027</v>
      </c>
      <c r="E55" s="46" t="s">
        <v>299</v>
      </c>
      <c r="F55" s="46" t="s">
        <v>1040</v>
      </c>
      <c r="G55" s="46"/>
      <c r="H55" s="46"/>
      <c r="I55" s="46"/>
      <c r="J55" s="46">
        <v>60</v>
      </c>
      <c r="K55" s="46">
        <v>0</v>
      </c>
      <c r="L55" s="46">
        <v>35</v>
      </c>
      <c r="M55" s="46">
        <v>3</v>
      </c>
      <c r="N55" s="46">
        <v>22</v>
      </c>
      <c r="O55" s="46">
        <f>SUM(テーブル1[[#This Row],[列11]:[列12]])</f>
        <v>25</v>
      </c>
      <c r="P55" s="46"/>
      <c r="Q55" s="46"/>
      <c r="R55" s="46">
        <f t="shared" si="1"/>
        <v>60</v>
      </c>
      <c r="S55" s="25">
        <f t="shared" si="2"/>
        <v>200117</v>
      </c>
      <c r="T55" s="25">
        <f>COUNTIF($V$4:V55,V55)</f>
        <v>18</v>
      </c>
      <c r="U55" s="25" t="str">
        <f>IF(T55=1,COUNTIF($T$4:T55,1),"")</f>
        <v/>
      </c>
      <c r="V55" s="26" t="str">
        <f>'施設状況(要更新)'!$E55&amp;'施設状況(要更新)'!$C55</f>
        <v>北区01保育所</v>
      </c>
      <c r="W55" s="26" t="str">
        <f>'施設状況(要更新)'!$F55</f>
        <v>あいの里第２協働保育園</v>
      </c>
      <c r="X55" s="27">
        <v>51</v>
      </c>
      <c r="Y55" s="35" t="str">
        <f t="shared" ref="Y55:AI64" si="8">IFERROR(INDEX($T$4:$W$678,MATCH($X55&amp;Y$3,INDEX($T$4:$T$678&amp;$V$4:$V$678,),0),MATCH("施設名",$T$3:$W$3,0)),"")</f>
        <v/>
      </c>
      <c r="Z55" s="36" t="str">
        <f t="shared" si="8"/>
        <v/>
      </c>
      <c r="AA55" s="36" t="str">
        <f t="shared" si="8"/>
        <v/>
      </c>
      <c r="AB55" s="37" t="str">
        <f t="shared" si="8"/>
        <v/>
      </c>
      <c r="AC55" s="37" t="str">
        <f t="shared" si="8"/>
        <v/>
      </c>
      <c r="AD55" s="37" t="str">
        <f t="shared" si="8"/>
        <v/>
      </c>
      <c r="AE55" s="37" t="str">
        <f t="shared" si="8"/>
        <v/>
      </c>
      <c r="AF55" s="36" t="str">
        <f t="shared" si="8"/>
        <v/>
      </c>
      <c r="AG55" s="37" t="str">
        <f t="shared" si="8"/>
        <v/>
      </c>
      <c r="AH55" s="30" t="str">
        <f t="shared" si="8"/>
        <v/>
      </c>
      <c r="AI55" s="30">
        <f t="shared" si="8"/>
        <v>0</v>
      </c>
      <c r="AJ55" s="30"/>
      <c r="AK55" s="30"/>
      <c r="AL55" s="30"/>
      <c r="AM55" s="30"/>
      <c r="AN55" s="30"/>
      <c r="AO55" s="30"/>
      <c r="AP55" s="30"/>
      <c r="AQ55" s="30"/>
      <c r="AR55" s="30"/>
      <c r="AS55" s="30"/>
      <c r="AT55" s="30"/>
      <c r="AU55" s="30"/>
      <c r="AV55" s="30"/>
      <c r="AW55" s="30"/>
      <c r="AX55" s="30"/>
      <c r="AY55" s="30"/>
      <c r="AZ55" s="30"/>
      <c r="BA55" s="30"/>
      <c r="BB55" s="30"/>
      <c r="BC55" s="30"/>
      <c r="BD55" s="30"/>
      <c r="BE55" s="30"/>
      <c r="BF55" s="30"/>
      <c r="BG55" s="30"/>
      <c r="BH55" s="30"/>
      <c r="BI55" s="30"/>
      <c r="BJ55" s="30"/>
      <c r="BK55" s="30"/>
      <c r="BL55" s="30"/>
      <c r="BM55" s="30"/>
      <c r="BN55" s="30"/>
      <c r="BO55" s="30"/>
      <c r="BP55" s="30"/>
      <c r="BQ55" s="30"/>
      <c r="BR55" s="30"/>
      <c r="BS55" s="30"/>
      <c r="BT55" s="30"/>
      <c r="BU55" s="30"/>
      <c r="BV55" s="30"/>
      <c r="BW55" s="30"/>
      <c r="BX55" s="30"/>
      <c r="BY55" s="30"/>
      <c r="BZ55" s="30"/>
      <c r="CA55" s="30"/>
      <c r="CB55" s="30"/>
      <c r="CC55" s="30"/>
      <c r="CD55" s="30"/>
      <c r="CE55" s="30"/>
      <c r="CF55" s="30"/>
      <c r="CG55" s="30"/>
      <c r="CH55" s="30"/>
      <c r="CI55" s="30"/>
      <c r="CJ55" s="30"/>
      <c r="CK55" s="30"/>
      <c r="CL55" s="30"/>
      <c r="CM55" s="30"/>
      <c r="CN55" s="30"/>
      <c r="CO55" s="30"/>
      <c r="CP55" s="30"/>
      <c r="CQ55" s="30"/>
      <c r="CR55" s="30"/>
      <c r="CS55" s="30"/>
      <c r="CT55" s="30"/>
      <c r="CU55" s="30"/>
      <c r="CV55" s="30"/>
      <c r="CW55" s="30"/>
      <c r="CX55" s="30"/>
      <c r="CY55" s="30"/>
      <c r="CZ55" s="30"/>
      <c r="DA55" s="30"/>
      <c r="DB55" s="30"/>
      <c r="DC55" s="30"/>
      <c r="DD55" s="30"/>
      <c r="DE55" s="30"/>
      <c r="DF55" s="30"/>
      <c r="DG55" s="30"/>
      <c r="DH55" s="30"/>
      <c r="DI55" s="30"/>
      <c r="DJ55" s="31"/>
    </row>
    <row r="56" spans="1:114">
      <c r="A56" s="45">
        <v>200118</v>
      </c>
      <c r="B56" s="46" t="s">
        <v>277</v>
      </c>
      <c r="C56" s="46" t="s">
        <v>626</v>
      </c>
      <c r="D56" s="46" t="s">
        <v>1027</v>
      </c>
      <c r="E56" s="46" t="s">
        <v>299</v>
      </c>
      <c r="F56" s="46" t="s">
        <v>1041</v>
      </c>
      <c r="G56" s="46"/>
      <c r="H56" s="46"/>
      <c r="I56" s="46"/>
      <c r="J56" s="46">
        <v>90</v>
      </c>
      <c r="K56" s="46">
        <v>0</v>
      </c>
      <c r="L56" s="46">
        <v>51</v>
      </c>
      <c r="M56" s="46">
        <v>5</v>
      </c>
      <c r="N56" s="46">
        <v>34</v>
      </c>
      <c r="O56" s="46">
        <f>SUM(テーブル1[[#This Row],[列11]:[列12]])</f>
        <v>39</v>
      </c>
      <c r="P56" s="46"/>
      <c r="Q56" s="46"/>
      <c r="R56" s="46">
        <f t="shared" si="1"/>
        <v>90</v>
      </c>
      <c r="S56" s="25">
        <f t="shared" si="2"/>
        <v>200118</v>
      </c>
      <c r="T56" s="25">
        <f>COUNTIF($V$4:V56,V56)</f>
        <v>19</v>
      </c>
      <c r="U56" s="25" t="str">
        <f>IF(T56=1,COUNTIF($T$4:T56,1),"")</f>
        <v/>
      </c>
      <c r="V56" s="26" t="str">
        <f>'施設状況(要更新)'!$E56&amp;'施設状況(要更新)'!$C56</f>
        <v>北区01保育所</v>
      </c>
      <c r="W56" s="26" t="str">
        <f>'施設状況(要更新)'!$F56</f>
        <v>ピッコロ子ども倶楽部北大前保育所</v>
      </c>
      <c r="X56" s="27">
        <v>52</v>
      </c>
      <c r="Y56" s="35" t="str">
        <f t="shared" si="8"/>
        <v/>
      </c>
      <c r="Z56" s="36" t="str">
        <f t="shared" si="8"/>
        <v/>
      </c>
      <c r="AA56" s="36" t="str">
        <f t="shared" si="8"/>
        <v/>
      </c>
      <c r="AB56" s="37" t="str">
        <f t="shared" si="8"/>
        <v/>
      </c>
      <c r="AC56" s="37" t="str">
        <f t="shared" si="8"/>
        <v/>
      </c>
      <c r="AD56" s="37" t="str">
        <f t="shared" si="8"/>
        <v/>
      </c>
      <c r="AE56" s="37" t="str">
        <f t="shared" si="8"/>
        <v/>
      </c>
      <c r="AF56" s="36" t="str">
        <f t="shared" si="8"/>
        <v/>
      </c>
      <c r="AG56" s="37" t="str">
        <f t="shared" si="8"/>
        <v/>
      </c>
      <c r="AH56" s="30" t="str">
        <f t="shared" si="8"/>
        <v/>
      </c>
      <c r="AI56" s="30">
        <f t="shared" si="8"/>
        <v>0</v>
      </c>
      <c r="AJ56" s="30"/>
      <c r="AK56" s="30"/>
      <c r="AL56" s="30"/>
      <c r="AM56" s="30"/>
      <c r="AN56" s="30"/>
      <c r="AO56" s="30"/>
      <c r="AP56" s="30"/>
      <c r="AQ56" s="30"/>
      <c r="AR56" s="30"/>
      <c r="AS56" s="30"/>
      <c r="AT56" s="30"/>
      <c r="AU56" s="30"/>
      <c r="AV56" s="30"/>
      <c r="AW56" s="30"/>
      <c r="AX56" s="30"/>
      <c r="AY56" s="30"/>
      <c r="AZ56" s="30"/>
      <c r="BA56" s="30"/>
      <c r="BB56" s="30"/>
      <c r="BC56" s="30"/>
      <c r="BD56" s="30"/>
      <c r="BE56" s="30"/>
      <c r="BF56" s="30"/>
      <c r="BG56" s="30"/>
      <c r="BH56" s="30"/>
      <c r="BI56" s="30"/>
      <c r="BJ56" s="30"/>
      <c r="BK56" s="30"/>
      <c r="BL56" s="30"/>
      <c r="BM56" s="30"/>
      <c r="BN56" s="30"/>
      <c r="BO56" s="30"/>
      <c r="BP56" s="30"/>
      <c r="BQ56" s="30"/>
      <c r="BR56" s="30"/>
      <c r="BS56" s="30"/>
      <c r="BT56" s="30"/>
      <c r="BU56" s="30"/>
      <c r="BV56" s="30"/>
      <c r="BW56" s="30"/>
      <c r="BX56" s="30"/>
      <c r="BY56" s="30"/>
      <c r="BZ56" s="30"/>
      <c r="CA56" s="30"/>
      <c r="CB56" s="30"/>
      <c r="CC56" s="30"/>
      <c r="CD56" s="30"/>
      <c r="CE56" s="30"/>
      <c r="CF56" s="30"/>
      <c r="CG56" s="30"/>
      <c r="CH56" s="30"/>
      <c r="CI56" s="30"/>
      <c r="CJ56" s="30"/>
      <c r="CK56" s="30"/>
      <c r="CL56" s="30"/>
      <c r="CM56" s="30"/>
      <c r="CN56" s="30"/>
      <c r="CO56" s="30"/>
      <c r="CP56" s="30"/>
      <c r="CQ56" s="30"/>
      <c r="CR56" s="30"/>
      <c r="CS56" s="30"/>
      <c r="CT56" s="30"/>
      <c r="CU56" s="30"/>
      <c r="CV56" s="30"/>
      <c r="CW56" s="30"/>
      <c r="CX56" s="30"/>
      <c r="CY56" s="30"/>
      <c r="CZ56" s="30"/>
      <c r="DA56" s="30"/>
      <c r="DB56" s="30"/>
      <c r="DC56" s="30"/>
      <c r="DD56" s="30"/>
      <c r="DE56" s="30"/>
      <c r="DF56" s="30"/>
      <c r="DG56" s="30"/>
      <c r="DH56" s="30"/>
      <c r="DI56" s="30"/>
      <c r="DJ56" s="31"/>
    </row>
    <row r="57" spans="1:114">
      <c r="A57" s="45">
        <v>200119</v>
      </c>
      <c r="B57" s="46" t="s">
        <v>277</v>
      </c>
      <c r="C57" s="46" t="s">
        <v>626</v>
      </c>
      <c r="D57" s="46" t="s">
        <v>1027</v>
      </c>
      <c r="E57" s="46" t="s">
        <v>299</v>
      </c>
      <c r="F57" s="46" t="s">
        <v>1042</v>
      </c>
      <c r="G57" s="46"/>
      <c r="H57" s="46"/>
      <c r="I57" s="46"/>
      <c r="J57" s="46">
        <v>60</v>
      </c>
      <c r="K57" s="46">
        <v>0</v>
      </c>
      <c r="L57" s="46">
        <v>35</v>
      </c>
      <c r="M57" s="46">
        <v>3</v>
      </c>
      <c r="N57" s="46">
        <v>22</v>
      </c>
      <c r="O57" s="46">
        <f>SUM(テーブル1[[#This Row],[列11]:[列12]])</f>
        <v>25</v>
      </c>
      <c r="P57" s="46"/>
      <c r="Q57" s="46"/>
      <c r="R57" s="46">
        <f t="shared" si="1"/>
        <v>60</v>
      </c>
      <c r="S57" s="25">
        <f t="shared" si="2"/>
        <v>200119</v>
      </c>
      <c r="T57" s="25">
        <f>COUNTIF($V$4:V57,V57)</f>
        <v>20</v>
      </c>
      <c r="U57" s="25" t="str">
        <f>IF(T57=1,COUNTIF($T$4:T57,1),"")</f>
        <v/>
      </c>
      <c r="V57" s="26" t="str">
        <f>'施設状況(要更新)'!$E57&amp;'施設状況(要更新)'!$C57</f>
        <v>北区01保育所</v>
      </c>
      <c r="W57" s="26" t="str">
        <f>'施設状況(要更新)'!$F57</f>
        <v>新川ひまわり保育園</v>
      </c>
      <c r="X57" s="27">
        <v>53</v>
      </c>
      <c r="Y57" s="35" t="str">
        <f t="shared" si="8"/>
        <v/>
      </c>
      <c r="Z57" s="36" t="str">
        <f t="shared" si="8"/>
        <v/>
      </c>
      <c r="AA57" s="36" t="str">
        <f t="shared" si="8"/>
        <v/>
      </c>
      <c r="AB57" s="37" t="str">
        <f t="shared" si="8"/>
        <v/>
      </c>
      <c r="AC57" s="37" t="str">
        <f t="shared" si="8"/>
        <v/>
      </c>
      <c r="AD57" s="37" t="str">
        <f t="shared" si="8"/>
        <v/>
      </c>
      <c r="AE57" s="37" t="str">
        <f t="shared" si="8"/>
        <v/>
      </c>
      <c r="AF57" s="36" t="str">
        <f t="shared" si="8"/>
        <v/>
      </c>
      <c r="AG57" s="37" t="str">
        <f t="shared" si="8"/>
        <v/>
      </c>
      <c r="AH57" s="30" t="str">
        <f t="shared" si="8"/>
        <v/>
      </c>
      <c r="AI57" s="30">
        <f t="shared" si="8"/>
        <v>0</v>
      </c>
      <c r="AJ57" s="30"/>
      <c r="AK57" s="30"/>
      <c r="AL57" s="30"/>
      <c r="AM57" s="30"/>
      <c r="AN57" s="30"/>
      <c r="AO57" s="30"/>
      <c r="AP57" s="30"/>
      <c r="AQ57" s="30"/>
      <c r="AR57" s="30"/>
      <c r="AS57" s="30"/>
      <c r="AT57" s="30"/>
      <c r="AU57" s="30"/>
      <c r="AV57" s="30"/>
      <c r="AW57" s="30"/>
      <c r="AX57" s="30"/>
      <c r="AY57" s="30"/>
      <c r="AZ57" s="30"/>
      <c r="BA57" s="30"/>
      <c r="BB57" s="30"/>
      <c r="BC57" s="30"/>
      <c r="BD57" s="30"/>
      <c r="BE57" s="30"/>
      <c r="BF57" s="30"/>
      <c r="BG57" s="30"/>
      <c r="BH57" s="30"/>
      <c r="BI57" s="30"/>
      <c r="BJ57" s="30"/>
      <c r="BK57" s="30"/>
      <c r="BL57" s="30"/>
      <c r="BM57" s="30"/>
      <c r="BN57" s="30"/>
      <c r="BO57" s="30"/>
      <c r="BP57" s="30"/>
      <c r="BQ57" s="30"/>
      <c r="BR57" s="30"/>
      <c r="BS57" s="30"/>
      <c r="BT57" s="30"/>
      <c r="BU57" s="30"/>
      <c r="BV57" s="30"/>
      <c r="BW57" s="30"/>
      <c r="BX57" s="30"/>
      <c r="BY57" s="30"/>
      <c r="BZ57" s="30"/>
      <c r="CA57" s="30"/>
      <c r="CB57" s="30"/>
      <c r="CC57" s="30"/>
      <c r="CD57" s="30"/>
      <c r="CE57" s="30"/>
      <c r="CF57" s="30"/>
      <c r="CG57" s="30"/>
      <c r="CH57" s="30"/>
      <c r="CI57" s="30"/>
      <c r="CJ57" s="30"/>
      <c r="CK57" s="30"/>
      <c r="CL57" s="30"/>
      <c r="CM57" s="30"/>
      <c r="CN57" s="30"/>
      <c r="CO57" s="30"/>
      <c r="CP57" s="30"/>
      <c r="CQ57" s="30"/>
      <c r="CR57" s="30"/>
      <c r="CS57" s="30"/>
      <c r="CT57" s="30"/>
      <c r="CU57" s="30"/>
      <c r="CV57" s="30"/>
      <c r="CW57" s="30"/>
      <c r="CX57" s="30"/>
      <c r="CY57" s="30"/>
      <c r="CZ57" s="30"/>
      <c r="DA57" s="30"/>
      <c r="DB57" s="30"/>
      <c r="DC57" s="30"/>
      <c r="DD57" s="30"/>
      <c r="DE57" s="30"/>
      <c r="DF57" s="30"/>
      <c r="DG57" s="30"/>
      <c r="DH57" s="30"/>
      <c r="DI57" s="30"/>
      <c r="DJ57" s="31"/>
    </row>
    <row r="58" spans="1:114">
      <c r="A58" s="45">
        <v>200122</v>
      </c>
      <c r="B58" s="46" t="s">
        <v>277</v>
      </c>
      <c r="C58" s="46" t="s">
        <v>626</v>
      </c>
      <c r="D58" s="46" t="s">
        <v>1027</v>
      </c>
      <c r="E58" s="46" t="s">
        <v>299</v>
      </c>
      <c r="F58" s="46" t="s">
        <v>1043</v>
      </c>
      <c r="G58" s="46"/>
      <c r="H58" s="46"/>
      <c r="I58" s="46"/>
      <c r="J58" s="46">
        <v>40</v>
      </c>
      <c r="K58" s="46">
        <v>0</v>
      </c>
      <c r="L58" s="46">
        <v>24</v>
      </c>
      <c r="M58" s="46">
        <v>2</v>
      </c>
      <c r="N58" s="46">
        <v>14</v>
      </c>
      <c r="O58" s="46">
        <f>SUM(テーブル1[[#This Row],[列11]:[列12]])</f>
        <v>16</v>
      </c>
      <c r="P58" s="46"/>
      <c r="Q58" s="46"/>
      <c r="R58" s="46">
        <f t="shared" si="1"/>
        <v>40</v>
      </c>
      <c r="S58" s="25">
        <f t="shared" si="2"/>
        <v>200122</v>
      </c>
      <c r="T58" s="25">
        <f>COUNTIF($V$4:V58,V58)</f>
        <v>21</v>
      </c>
      <c r="U58" s="25" t="str">
        <f>IF(T58=1,COUNTIF($T$4:T58,1),"")</f>
        <v/>
      </c>
      <c r="V58" s="26" t="str">
        <f>'施設状況(要更新)'!$E58&amp;'施設状況(要更新)'!$C58</f>
        <v>北区01保育所</v>
      </c>
      <c r="W58" s="26" t="str">
        <f>'施設状況(要更新)'!$F58</f>
        <v>新陽保育園</v>
      </c>
      <c r="X58" s="27">
        <v>54</v>
      </c>
      <c r="Y58" s="35" t="str">
        <f t="shared" si="8"/>
        <v/>
      </c>
      <c r="Z58" s="36" t="str">
        <f t="shared" si="8"/>
        <v/>
      </c>
      <c r="AA58" s="36" t="str">
        <f t="shared" si="8"/>
        <v/>
      </c>
      <c r="AB58" s="37" t="str">
        <f t="shared" si="8"/>
        <v/>
      </c>
      <c r="AC58" s="37" t="str">
        <f t="shared" si="8"/>
        <v/>
      </c>
      <c r="AD58" s="37" t="str">
        <f t="shared" si="8"/>
        <v/>
      </c>
      <c r="AE58" s="37" t="str">
        <f t="shared" si="8"/>
        <v/>
      </c>
      <c r="AF58" s="36" t="str">
        <f t="shared" si="8"/>
        <v/>
      </c>
      <c r="AG58" s="37" t="str">
        <f t="shared" si="8"/>
        <v/>
      </c>
      <c r="AH58" s="30" t="str">
        <f t="shared" si="8"/>
        <v/>
      </c>
      <c r="AI58" s="30">
        <f t="shared" si="8"/>
        <v>0</v>
      </c>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c r="CF58" s="30"/>
      <c r="CG58" s="30"/>
      <c r="CH58" s="30"/>
      <c r="CI58" s="30"/>
      <c r="CJ58" s="30"/>
      <c r="CK58" s="30"/>
      <c r="CL58" s="30"/>
      <c r="CM58" s="30"/>
      <c r="CN58" s="30"/>
      <c r="CO58" s="30"/>
      <c r="CP58" s="30"/>
      <c r="CQ58" s="30"/>
      <c r="CR58" s="30"/>
      <c r="CS58" s="30"/>
      <c r="CT58" s="30"/>
      <c r="CU58" s="30"/>
      <c r="CV58" s="30"/>
      <c r="CW58" s="30"/>
      <c r="CX58" s="30"/>
      <c r="CY58" s="30"/>
      <c r="CZ58" s="30"/>
      <c r="DA58" s="30"/>
      <c r="DB58" s="30"/>
      <c r="DC58" s="30"/>
      <c r="DD58" s="30"/>
      <c r="DE58" s="30"/>
      <c r="DF58" s="30"/>
      <c r="DG58" s="30"/>
      <c r="DH58" s="30"/>
      <c r="DI58" s="30"/>
      <c r="DJ58" s="31"/>
    </row>
    <row r="59" spans="1:114">
      <c r="A59" s="45">
        <v>200123</v>
      </c>
      <c r="B59" s="46" t="s">
        <v>277</v>
      </c>
      <c r="C59" s="46" t="s">
        <v>626</v>
      </c>
      <c r="D59" s="46" t="s">
        <v>1027</v>
      </c>
      <c r="E59" s="46" t="s">
        <v>299</v>
      </c>
      <c r="F59" s="46" t="s">
        <v>1044</v>
      </c>
      <c r="G59" s="46"/>
      <c r="H59" s="46"/>
      <c r="I59" s="46"/>
      <c r="J59" s="46">
        <v>40</v>
      </c>
      <c r="K59" s="46">
        <v>0</v>
      </c>
      <c r="L59" s="46">
        <v>24</v>
      </c>
      <c r="M59" s="46">
        <v>2</v>
      </c>
      <c r="N59" s="46">
        <v>14</v>
      </c>
      <c r="O59" s="46">
        <f>SUM(テーブル1[[#This Row],[列11]:[列12]])</f>
        <v>16</v>
      </c>
      <c r="P59" s="46"/>
      <c r="Q59" s="46"/>
      <c r="R59" s="46">
        <f t="shared" si="1"/>
        <v>40</v>
      </c>
      <c r="S59" s="25">
        <f t="shared" si="2"/>
        <v>200123</v>
      </c>
      <c r="T59" s="25">
        <f>COUNTIF($V$4:V59,V59)</f>
        <v>22</v>
      </c>
      <c r="U59" s="25" t="str">
        <f>IF(T59=1,COUNTIF($T$4:T59,1),"")</f>
        <v/>
      </c>
      <c r="V59" s="26" t="str">
        <f>'施設状況(要更新)'!$E59&amp;'施設状況(要更新)'!$C59</f>
        <v>北区01保育所</v>
      </c>
      <c r="W59" s="26" t="str">
        <f>'施設状況(要更新)'!$F59</f>
        <v>札幌北はぐはぐ保育園</v>
      </c>
      <c r="X59" s="27">
        <v>55</v>
      </c>
      <c r="Y59" s="35" t="str">
        <f t="shared" si="8"/>
        <v/>
      </c>
      <c r="Z59" s="36" t="str">
        <f t="shared" si="8"/>
        <v/>
      </c>
      <c r="AA59" s="36" t="str">
        <f t="shared" si="8"/>
        <v/>
      </c>
      <c r="AB59" s="37" t="str">
        <f t="shared" si="8"/>
        <v/>
      </c>
      <c r="AC59" s="37" t="str">
        <f t="shared" si="8"/>
        <v/>
      </c>
      <c r="AD59" s="37" t="str">
        <f t="shared" si="8"/>
        <v/>
      </c>
      <c r="AE59" s="37" t="str">
        <f t="shared" si="8"/>
        <v/>
      </c>
      <c r="AF59" s="37" t="str">
        <f t="shared" si="8"/>
        <v/>
      </c>
      <c r="AG59" s="37" t="str">
        <f t="shared" si="8"/>
        <v/>
      </c>
      <c r="AH59" s="30" t="str">
        <f t="shared" si="8"/>
        <v/>
      </c>
      <c r="AI59" s="30">
        <f t="shared" si="8"/>
        <v>0</v>
      </c>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c r="CF59" s="30"/>
      <c r="CG59" s="30"/>
      <c r="CH59" s="30"/>
      <c r="CI59" s="30"/>
      <c r="CJ59" s="30"/>
      <c r="CK59" s="30"/>
      <c r="CL59" s="30"/>
      <c r="CM59" s="30"/>
      <c r="CN59" s="30"/>
      <c r="CO59" s="30"/>
      <c r="CP59" s="30"/>
      <c r="CQ59" s="30"/>
      <c r="CR59" s="30"/>
      <c r="CS59" s="30"/>
      <c r="CT59" s="30"/>
      <c r="CU59" s="30"/>
      <c r="CV59" s="30"/>
      <c r="CW59" s="30"/>
      <c r="CX59" s="30"/>
      <c r="CY59" s="30"/>
      <c r="CZ59" s="30"/>
      <c r="DA59" s="30"/>
      <c r="DB59" s="30"/>
      <c r="DC59" s="30"/>
      <c r="DD59" s="30"/>
      <c r="DE59" s="30"/>
      <c r="DF59" s="30"/>
      <c r="DG59" s="30"/>
      <c r="DH59" s="30"/>
      <c r="DI59" s="30"/>
      <c r="DJ59" s="31"/>
    </row>
    <row r="60" spans="1:114">
      <c r="A60" s="45">
        <v>200124</v>
      </c>
      <c r="B60" s="46" t="s">
        <v>277</v>
      </c>
      <c r="C60" s="46" t="s">
        <v>626</v>
      </c>
      <c r="D60" s="46" t="s">
        <v>1027</v>
      </c>
      <c r="E60" s="46" t="s">
        <v>299</v>
      </c>
      <c r="F60" s="46" t="s">
        <v>1221</v>
      </c>
      <c r="G60" s="46"/>
      <c r="H60" s="46"/>
      <c r="I60" s="46"/>
      <c r="J60" s="46">
        <v>60</v>
      </c>
      <c r="K60" s="46">
        <v>0</v>
      </c>
      <c r="L60" s="46">
        <v>35</v>
      </c>
      <c r="M60" s="46">
        <v>3</v>
      </c>
      <c r="N60" s="46">
        <v>22</v>
      </c>
      <c r="O60" s="46">
        <f>SUM(テーブル1[[#This Row],[列11]:[列12]])</f>
        <v>25</v>
      </c>
      <c r="P60" s="46"/>
      <c r="Q60" s="46"/>
      <c r="R60" s="46">
        <f t="shared" si="1"/>
        <v>60</v>
      </c>
      <c r="S60" s="25">
        <f t="shared" si="2"/>
        <v>200124</v>
      </c>
      <c r="T60" s="25">
        <f>COUNTIF($V$4:V60,V60)</f>
        <v>23</v>
      </c>
      <c r="U60" s="25" t="str">
        <f>IF(T60=1,COUNTIF($T$4:T60,1),"")</f>
        <v/>
      </c>
      <c r="V60" s="26" t="str">
        <f>'施設状況(要更新)'!$E60&amp;'施設状況(要更新)'!$C60</f>
        <v>北区01保育所</v>
      </c>
      <c r="W60" s="26" t="str">
        <f>'施設状況(要更新)'!$F60</f>
        <v>アイグラン保育園北陽</v>
      </c>
      <c r="X60" s="27">
        <v>56</v>
      </c>
      <c r="Y60" s="35" t="str">
        <f t="shared" si="8"/>
        <v/>
      </c>
      <c r="Z60" s="36" t="str">
        <f t="shared" si="8"/>
        <v/>
      </c>
      <c r="AA60" s="36" t="str">
        <f t="shared" si="8"/>
        <v/>
      </c>
      <c r="AB60" s="37" t="str">
        <f t="shared" si="8"/>
        <v/>
      </c>
      <c r="AC60" s="37" t="str">
        <f t="shared" si="8"/>
        <v/>
      </c>
      <c r="AD60" s="37" t="str">
        <f t="shared" si="8"/>
        <v/>
      </c>
      <c r="AE60" s="37" t="str">
        <f t="shared" si="8"/>
        <v/>
      </c>
      <c r="AF60" s="37" t="str">
        <f t="shared" si="8"/>
        <v/>
      </c>
      <c r="AG60" s="37" t="str">
        <f t="shared" si="8"/>
        <v/>
      </c>
      <c r="AH60" s="30" t="str">
        <f t="shared" si="8"/>
        <v/>
      </c>
      <c r="AI60" s="30">
        <f t="shared" si="8"/>
        <v>0</v>
      </c>
      <c r="AJ60" s="30"/>
      <c r="AK60" s="30"/>
      <c r="AL60" s="30"/>
      <c r="AM60" s="30"/>
      <c r="AN60" s="30"/>
      <c r="AO60" s="30"/>
      <c r="AP60" s="30"/>
      <c r="AQ60" s="30"/>
      <c r="AR60" s="30"/>
      <c r="AS60" s="30"/>
      <c r="AT60" s="30"/>
      <c r="AU60" s="30"/>
      <c r="AV60" s="30"/>
      <c r="AW60" s="30"/>
      <c r="AX60" s="30"/>
      <c r="AY60" s="30"/>
      <c r="AZ60" s="30"/>
      <c r="BA60" s="30"/>
      <c r="BB60" s="30"/>
      <c r="BC60" s="30"/>
      <c r="BD60" s="30"/>
      <c r="BE60" s="30"/>
      <c r="BF60" s="30"/>
      <c r="BG60" s="30"/>
      <c r="BH60" s="30"/>
      <c r="BI60" s="30"/>
      <c r="BJ60" s="30"/>
      <c r="BK60" s="30"/>
      <c r="BL60" s="30"/>
      <c r="BM60" s="30"/>
      <c r="BN60" s="30"/>
      <c r="BO60" s="30"/>
      <c r="BP60" s="30"/>
      <c r="BQ60" s="30"/>
      <c r="BR60" s="30"/>
      <c r="BS60" s="30"/>
      <c r="BT60" s="30"/>
      <c r="BU60" s="30"/>
      <c r="BV60" s="30"/>
      <c r="BW60" s="30"/>
      <c r="BX60" s="30"/>
      <c r="BY60" s="30"/>
      <c r="BZ60" s="30"/>
      <c r="CA60" s="30"/>
      <c r="CB60" s="30"/>
      <c r="CC60" s="30"/>
      <c r="CD60" s="30"/>
      <c r="CE60" s="30"/>
      <c r="CF60" s="30"/>
      <c r="CG60" s="30"/>
      <c r="CH60" s="30"/>
      <c r="CI60" s="30"/>
      <c r="CJ60" s="30"/>
      <c r="CK60" s="30"/>
      <c r="CL60" s="30"/>
      <c r="CM60" s="30"/>
      <c r="CN60" s="30"/>
      <c r="CO60" s="30"/>
      <c r="CP60" s="30"/>
      <c r="CQ60" s="30"/>
      <c r="CR60" s="30"/>
      <c r="CS60" s="30"/>
      <c r="CT60" s="30"/>
      <c r="CU60" s="30"/>
      <c r="CV60" s="30"/>
      <c r="CW60" s="30"/>
      <c r="CX60" s="30"/>
      <c r="CY60" s="30"/>
      <c r="CZ60" s="30"/>
      <c r="DA60" s="30"/>
      <c r="DB60" s="30"/>
      <c r="DC60" s="30"/>
      <c r="DD60" s="30"/>
      <c r="DE60" s="30"/>
      <c r="DF60" s="30"/>
      <c r="DG60" s="30"/>
      <c r="DH60" s="30"/>
      <c r="DI60" s="30"/>
      <c r="DJ60" s="31"/>
    </row>
    <row r="61" spans="1:114">
      <c r="A61" s="45">
        <v>200125</v>
      </c>
      <c r="B61" s="46" t="s">
        <v>277</v>
      </c>
      <c r="C61" s="46" t="s">
        <v>626</v>
      </c>
      <c r="D61" s="46" t="s">
        <v>1027</v>
      </c>
      <c r="E61" s="46" t="s">
        <v>299</v>
      </c>
      <c r="F61" s="46" t="s">
        <v>1045</v>
      </c>
      <c r="G61" s="46"/>
      <c r="H61" s="46"/>
      <c r="I61" s="46"/>
      <c r="J61" s="46">
        <v>60</v>
      </c>
      <c r="K61" s="46">
        <v>0</v>
      </c>
      <c r="L61" s="46">
        <v>35</v>
      </c>
      <c r="M61" s="46">
        <v>3</v>
      </c>
      <c r="N61" s="46">
        <v>22</v>
      </c>
      <c r="O61" s="46">
        <f>SUM(テーブル1[[#This Row],[列11]:[列12]])</f>
        <v>25</v>
      </c>
      <c r="P61" s="46"/>
      <c r="Q61" s="46"/>
      <c r="R61" s="46">
        <f t="shared" si="1"/>
        <v>60</v>
      </c>
      <c r="S61" s="25">
        <f t="shared" si="2"/>
        <v>200125</v>
      </c>
      <c r="T61" s="25">
        <f>COUNTIF($V$4:V61,V61)</f>
        <v>24</v>
      </c>
      <c r="U61" s="25" t="str">
        <f>IF(T61=1,COUNTIF($T$4:T61,1),"")</f>
        <v/>
      </c>
      <c r="V61" s="26" t="str">
        <f>'施設状況(要更新)'!$E61&amp;'施設状況(要更新)'!$C61</f>
        <v>北区01保育所</v>
      </c>
      <c r="W61" s="26" t="str">
        <f>'施設状況(要更新)'!$F61</f>
        <v>Ｓ．Ｔ．ナーサリーＳＣＨＯＯＬ新川西</v>
      </c>
      <c r="X61" s="27">
        <v>57</v>
      </c>
      <c r="Y61" s="35" t="str">
        <f t="shared" si="8"/>
        <v/>
      </c>
      <c r="Z61" s="36" t="str">
        <f t="shared" si="8"/>
        <v/>
      </c>
      <c r="AA61" s="36" t="str">
        <f t="shared" si="8"/>
        <v/>
      </c>
      <c r="AB61" s="37" t="str">
        <f t="shared" si="8"/>
        <v/>
      </c>
      <c r="AC61" s="37" t="str">
        <f t="shared" si="8"/>
        <v/>
      </c>
      <c r="AD61" s="37" t="str">
        <f t="shared" si="8"/>
        <v/>
      </c>
      <c r="AE61" s="37" t="str">
        <f t="shared" si="8"/>
        <v/>
      </c>
      <c r="AF61" s="37" t="str">
        <f t="shared" si="8"/>
        <v/>
      </c>
      <c r="AG61" s="37" t="str">
        <f t="shared" si="8"/>
        <v/>
      </c>
      <c r="AH61" s="30" t="str">
        <f t="shared" si="8"/>
        <v/>
      </c>
      <c r="AI61" s="30">
        <f t="shared" si="8"/>
        <v>0</v>
      </c>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c r="CN61" s="30"/>
      <c r="CO61" s="30"/>
      <c r="CP61" s="30"/>
      <c r="CQ61" s="30"/>
      <c r="CR61" s="30"/>
      <c r="CS61" s="30"/>
      <c r="CT61" s="30"/>
      <c r="CU61" s="30"/>
      <c r="CV61" s="30"/>
      <c r="CW61" s="30"/>
      <c r="CX61" s="30"/>
      <c r="CY61" s="30"/>
      <c r="CZ61" s="30"/>
      <c r="DA61" s="30"/>
      <c r="DB61" s="30"/>
      <c r="DC61" s="30"/>
      <c r="DD61" s="30"/>
      <c r="DE61" s="30"/>
      <c r="DF61" s="30"/>
      <c r="DG61" s="30"/>
      <c r="DH61" s="30"/>
      <c r="DI61" s="30"/>
      <c r="DJ61" s="31"/>
    </row>
    <row r="62" spans="1:114">
      <c r="A62" s="45">
        <v>200126</v>
      </c>
      <c r="B62" s="46" t="s">
        <v>277</v>
      </c>
      <c r="C62" s="46" t="s">
        <v>626</v>
      </c>
      <c r="D62" s="46" t="s">
        <v>1027</v>
      </c>
      <c r="E62" s="46" t="s">
        <v>299</v>
      </c>
      <c r="F62" s="46" t="s">
        <v>1222</v>
      </c>
      <c r="G62" s="46"/>
      <c r="H62" s="46"/>
      <c r="I62" s="46"/>
      <c r="J62" s="46">
        <v>60</v>
      </c>
      <c r="K62" s="46">
        <v>0</v>
      </c>
      <c r="L62" s="46">
        <v>35</v>
      </c>
      <c r="M62" s="46">
        <v>3</v>
      </c>
      <c r="N62" s="46">
        <v>22</v>
      </c>
      <c r="O62" s="46">
        <f>SUM(テーブル1[[#This Row],[列11]:[列12]])</f>
        <v>25</v>
      </c>
      <c r="P62" s="46"/>
      <c r="Q62" s="46"/>
      <c r="R62" s="46">
        <f t="shared" si="1"/>
        <v>60</v>
      </c>
      <c r="S62" s="25">
        <f t="shared" si="2"/>
        <v>200126</v>
      </c>
      <c r="T62" s="25">
        <f>COUNTIF($V$4:V62,V62)</f>
        <v>25</v>
      </c>
      <c r="U62" s="25" t="str">
        <f>IF(T62=1,COUNTIF($T$4:T62,1),"")</f>
        <v/>
      </c>
      <c r="V62" s="26" t="str">
        <f>'施設状況(要更新)'!$E62&amp;'施設状況(要更新)'!$C62</f>
        <v>北区01保育所</v>
      </c>
      <c r="W62" s="26" t="str">
        <f>'施設状況(要更新)'!$F62</f>
        <v>アイグラン保育園拓北</v>
      </c>
      <c r="X62" s="27">
        <v>58</v>
      </c>
      <c r="Y62" s="35" t="str">
        <f t="shared" si="8"/>
        <v/>
      </c>
      <c r="Z62" s="36" t="str">
        <f t="shared" si="8"/>
        <v/>
      </c>
      <c r="AA62" s="36" t="str">
        <f t="shared" si="8"/>
        <v/>
      </c>
      <c r="AB62" s="37" t="str">
        <f t="shared" si="8"/>
        <v/>
      </c>
      <c r="AC62" s="37" t="str">
        <f t="shared" si="8"/>
        <v/>
      </c>
      <c r="AD62" s="37" t="str">
        <f t="shared" si="8"/>
        <v/>
      </c>
      <c r="AE62" s="37" t="str">
        <f t="shared" si="8"/>
        <v/>
      </c>
      <c r="AF62" s="37" t="str">
        <f t="shared" si="8"/>
        <v/>
      </c>
      <c r="AG62" s="37" t="str">
        <f t="shared" si="8"/>
        <v/>
      </c>
      <c r="AH62" s="30" t="str">
        <f t="shared" si="8"/>
        <v/>
      </c>
      <c r="AI62" s="30">
        <f t="shared" si="8"/>
        <v>0</v>
      </c>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c r="BI62" s="30"/>
      <c r="BJ62" s="30"/>
      <c r="BK62" s="30"/>
      <c r="BL62" s="30"/>
      <c r="BM62" s="30"/>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c r="CN62" s="30"/>
      <c r="CO62" s="30"/>
      <c r="CP62" s="30"/>
      <c r="CQ62" s="30"/>
      <c r="CR62" s="30"/>
      <c r="CS62" s="30"/>
      <c r="CT62" s="30"/>
      <c r="CU62" s="30"/>
      <c r="CV62" s="30"/>
      <c r="CW62" s="30"/>
      <c r="CX62" s="30"/>
      <c r="CY62" s="30"/>
      <c r="CZ62" s="30"/>
      <c r="DA62" s="30"/>
      <c r="DB62" s="30"/>
      <c r="DC62" s="30"/>
      <c r="DD62" s="30"/>
      <c r="DE62" s="30"/>
      <c r="DF62" s="30"/>
      <c r="DG62" s="30"/>
      <c r="DH62" s="30"/>
      <c r="DI62" s="30"/>
      <c r="DJ62" s="31"/>
    </row>
    <row r="63" spans="1:114">
      <c r="A63" s="45">
        <v>200127</v>
      </c>
      <c r="B63" s="46" t="s">
        <v>277</v>
      </c>
      <c r="C63" s="46" t="s">
        <v>626</v>
      </c>
      <c r="D63" s="46" t="s">
        <v>1027</v>
      </c>
      <c r="E63" s="46" t="s">
        <v>299</v>
      </c>
      <c r="F63" s="46" t="s">
        <v>1223</v>
      </c>
      <c r="G63" s="46"/>
      <c r="H63" s="46"/>
      <c r="I63" s="46"/>
      <c r="J63" s="46">
        <v>90</v>
      </c>
      <c r="K63" s="46">
        <v>0</v>
      </c>
      <c r="L63" s="46">
        <v>51</v>
      </c>
      <c r="M63" s="46">
        <v>5</v>
      </c>
      <c r="N63" s="46">
        <v>34</v>
      </c>
      <c r="O63" s="46">
        <f>SUM(テーブル1[[#This Row],[列11]:[列12]])</f>
        <v>39</v>
      </c>
      <c r="P63" s="46"/>
      <c r="Q63" s="46"/>
      <c r="R63" s="46">
        <f t="shared" si="1"/>
        <v>90</v>
      </c>
      <c r="S63" s="25">
        <f t="shared" si="2"/>
        <v>200127</v>
      </c>
      <c r="T63" s="25">
        <f>COUNTIF($V$4:V63,V63)</f>
        <v>26</v>
      </c>
      <c r="U63" s="25" t="str">
        <f>IF(T63=1,COUNTIF($T$4:T63,1),"")</f>
        <v/>
      </c>
      <c r="V63" s="26" t="str">
        <f>'施設状況(要更新)'!$E63&amp;'施設状況(要更新)'!$C63</f>
        <v>北区01保育所</v>
      </c>
      <c r="W63" s="26" t="str">
        <f>'施設状況(要更新)'!$F63</f>
        <v>元気っ子保育園・屯田南</v>
      </c>
      <c r="X63" s="27">
        <v>59</v>
      </c>
      <c r="Y63" s="35" t="str">
        <f t="shared" si="8"/>
        <v/>
      </c>
      <c r="Z63" s="36" t="str">
        <f t="shared" si="8"/>
        <v/>
      </c>
      <c r="AA63" s="36" t="str">
        <f t="shared" si="8"/>
        <v/>
      </c>
      <c r="AB63" s="37" t="str">
        <f t="shared" si="8"/>
        <v/>
      </c>
      <c r="AC63" s="37" t="str">
        <f t="shared" si="8"/>
        <v/>
      </c>
      <c r="AD63" s="37" t="str">
        <f t="shared" si="8"/>
        <v/>
      </c>
      <c r="AE63" s="37" t="str">
        <f t="shared" si="8"/>
        <v/>
      </c>
      <c r="AF63" s="37" t="str">
        <f t="shared" si="8"/>
        <v/>
      </c>
      <c r="AG63" s="37" t="str">
        <f t="shared" si="8"/>
        <v/>
      </c>
      <c r="AH63" s="30" t="str">
        <f t="shared" si="8"/>
        <v/>
      </c>
      <c r="AI63" s="30">
        <f t="shared" si="8"/>
        <v>0</v>
      </c>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30"/>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c r="CN63" s="30"/>
      <c r="CO63" s="30"/>
      <c r="CP63" s="30"/>
      <c r="CQ63" s="30"/>
      <c r="CR63" s="30"/>
      <c r="CS63" s="30"/>
      <c r="CT63" s="30"/>
      <c r="CU63" s="30"/>
      <c r="CV63" s="30"/>
      <c r="CW63" s="30"/>
      <c r="CX63" s="30"/>
      <c r="CY63" s="30"/>
      <c r="CZ63" s="30"/>
      <c r="DA63" s="30"/>
      <c r="DB63" s="30"/>
      <c r="DC63" s="30"/>
      <c r="DD63" s="30"/>
      <c r="DE63" s="30"/>
      <c r="DF63" s="30"/>
      <c r="DG63" s="30"/>
      <c r="DH63" s="30"/>
      <c r="DI63" s="30"/>
      <c r="DJ63" s="31"/>
    </row>
    <row r="64" spans="1:114">
      <c r="A64" s="45">
        <v>200129</v>
      </c>
      <c r="B64" s="46" t="s">
        <v>277</v>
      </c>
      <c r="C64" s="46" t="s">
        <v>626</v>
      </c>
      <c r="D64" s="46" t="s">
        <v>1027</v>
      </c>
      <c r="E64" s="46" t="s">
        <v>299</v>
      </c>
      <c r="F64" s="46" t="s">
        <v>1224</v>
      </c>
      <c r="G64" s="46"/>
      <c r="H64" s="46"/>
      <c r="I64" s="46"/>
      <c r="J64" s="46">
        <v>40</v>
      </c>
      <c r="K64" s="46">
        <v>0</v>
      </c>
      <c r="L64" s="46">
        <v>24</v>
      </c>
      <c r="M64" s="46">
        <v>2</v>
      </c>
      <c r="N64" s="46">
        <v>14</v>
      </c>
      <c r="O64" s="46">
        <f>SUM(テーブル1[[#This Row],[列11]:[列12]])</f>
        <v>16</v>
      </c>
      <c r="P64" s="46"/>
      <c r="Q64" s="46"/>
      <c r="R64" s="46">
        <f t="shared" si="1"/>
        <v>40</v>
      </c>
      <c r="S64" s="25">
        <f t="shared" si="2"/>
        <v>200129</v>
      </c>
      <c r="T64" s="25">
        <f>COUNTIF($V$4:V64,V64)</f>
        <v>27</v>
      </c>
      <c r="U64" s="25" t="str">
        <f>IF(T64=1,COUNTIF($T$4:T64,1),"")</f>
        <v/>
      </c>
      <c r="V64" s="26" t="str">
        <f>'施設状況(要更新)'!$E64&amp;'施設状況(要更新)'!$C64</f>
        <v>北区01保育所</v>
      </c>
      <c r="W64" s="26" t="str">
        <f>'施設状況(要更新)'!$F64</f>
        <v>屯田南保育園</v>
      </c>
      <c r="X64" s="27">
        <v>60</v>
      </c>
      <c r="Y64" s="38" t="str">
        <f t="shared" si="8"/>
        <v/>
      </c>
      <c r="Z64" s="39" t="str">
        <f t="shared" si="8"/>
        <v/>
      </c>
      <c r="AA64" s="39" t="str">
        <f t="shared" si="8"/>
        <v/>
      </c>
      <c r="AB64" s="40" t="str">
        <f t="shared" si="8"/>
        <v/>
      </c>
      <c r="AC64" s="40" t="str">
        <f t="shared" si="8"/>
        <v/>
      </c>
      <c r="AD64" s="40" t="str">
        <f t="shared" si="8"/>
        <v/>
      </c>
      <c r="AE64" s="40" t="str">
        <f t="shared" si="8"/>
        <v/>
      </c>
      <c r="AF64" s="40" t="str">
        <f t="shared" si="8"/>
        <v/>
      </c>
      <c r="AG64" s="40" t="str">
        <f t="shared" si="8"/>
        <v/>
      </c>
      <c r="AH64" s="41" t="str">
        <f t="shared" si="8"/>
        <v/>
      </c>
      <c r="AI64" s="41">
        <f t="shared" si="8"/>
        <v>0</v>
      </c>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2"/>
    </row>
    <row r="65" spans="1:27">
      <c r="A65" s="45">
        <v>300004</v>
      </c>
      <c r="B65" s="46" t="s">
        <v>277</v>
      </c>
      <c r="C65" s="46" t="s">
        <v>626</v>
      </c>
      <c r="D65" s="46" t="s">
        <v>1027</v>
      </c>
      <c r="E65" s="46" t="s">
        <v>315</v>
      </c>
      <c r="F65" s="46" t="s">
        <v>316</v>
      </c>
      <c r="G65" s="46"/>
      <c r="H65" s="46"/>
      <c r="I65" s="46"/>
      <c r="J65" s="46">
        <v>70</v>
      </c>
      <c r="K65" s="46">
        <v>0</v>
      </c>
      <c r="L65" s="46">
        <v>39</v>
      </c>
      <c r="M65" s="46">
        <v>7</v>
      </c>
      <c r="N65" s="46">
        <v>24</v>
      </c>
      <c r="O65" s="46">
        <f>SUM(テーブル1[[#This Row],[列11]:[列12]])</f>
        <v>31</v>
      </c>
      <c r="P65" s="46"/>
      <c r="Q65" s="46"/>
      <c r="R65" s="46">
        <f t="shared" si="1"/>
        <v>70</v>
      </c>
      <c r="S65" s="25">
        <f t="shared" si="2"/>
        <v>300004</v>
      </c>
      <c r="T65" s="25">
        <f>COUNTIF($V$4:V65,V65)</f>
        <v>1</v>
      </c>
      <c r="U65" s="25">
        <f>IF(T65=1,COUNTIF($T$4:T65,1),"")</f>
        <v>3</v>
      </c>
      <c r="V65" s="26" t="str">
        <f>'施設状況(要更新)'!$E65&amp;'施設状況(要更新)'!$C65</f>
        <v>東区01保育所</v>
      </c>
      <c r="W65" s="26" t="str">
        <f>'施設状況(要更新)'!$F65</f>
        <v>札苗保育園</v>
      </c>
      <c r="X65" s="27"/>
      <c r="Y65" s="26"/>
      <c r="Z65" s="26"/>
      <c r="AA65" s="26"/>
    </row>
    <row r="66" spans="1:27">
      <c r="A66" s="45">
        <v>300005</v>
      </c>
      <c r="B66" s="46" t="s">
        <v>277</v>
      </c>
      <c r="C66" s="46" t="s">
        <v>626</v>
      </c>
      <c r="D66" s="46" t="s">
        <v>1027</v>
      </c>
      <c r="E66" s="46" t="s">
        <v>315</v>
      </c>
      <c r="F66" s="46" t="s">
        <v>317</v>
      </c>
      <c r="G66" s="46"/>
      <c r="H66" s="46"/>
      <c r="I66" s="46"/>
      <c r="J66" s="46">
        <v>90</v>
      </c>
      <c r="K66" s="46">
        <v>0</v>
      </c>
      <c r="L66" s="46">
        <v>52</v>
      </c>
      <c r="M66" s="46">
        <v>10</v>
      </c>
      <c r="N66" s="46">
        <v>28</v>
      </c>
      <c r="O66" s="46">
        <f>SUM(テーブル1[[#This Row],[列11]:[列12]])</f>
        <v>38</v>
      </c>
      <c r="P66" s="46"/>
      <c r="Q66" s="46"/>
      <c r="R66" s="46">
        <f t="shared" si="1"/>
        <v>90</v>
      </c>
      <c r="S66" s="25">
        <f t="shared" si="2"/>
        <v>300005</v>
      </c>
      <c r="T66" s="25">
        <f>COUNTIF($V$4:V66,V66)</f>
        <v>2</v>
      </c>
      <c r="U66" s="25" t="str">
        <f>IF(T66=1,COUNTIF($T$4:T66,1),"")</f>
        <v/>
      </c>
      <c r="V66" s="26" t="str">
        <f>'施設状況(要更新)'!$E66&amp;'施設状況(要更新)'!$C66</f>
        <v>東区01保育所</v>
      </c>
      <c r="W66" s="26" t="str">
        <f>'施設状況(要更新)'!$F66</f>
        <v>元町にこにこ保育園</v>
      </c>
      <c r="X66" s="27"/>
      <c r="Y66" s="26"/>
      <c r="Z66" s="26"/>
      <c r="AA66" s="26"/>
    </row>
    <row r="67" spans="1:27">
      <c r="A67" s="45">
        <v>300009</v>
      </c>
      <c r="B67" s="46" t="s">
        <v>277</v>
      </c>
      <c r="C67" s="46" t="s">
        <v>626</v>
      </c>
      <c r="D67" s="46" t="s">
        <v>1027</v>
      </c>
      <c r="E67" s="46" t="s">
        <v>315</v>
      </c>
      <c r="F67" s="46" t="s">
        <v>318</v>
      </c>
      <c r="G67" s="46"/>
      <c r="H67" s="46"/>
      <c r="I67" s="46"/>
      <c r="J67" s="46">
        <v>90</v>
      </c>
      <c r="K67" s="46">
        <v>0</v>
      </c>
      <c r="L67" s="46">
        <v>50</v>
      </c>
      <c r="M67" s="46">
        <v>9</v>
      </c>
      <c r="N67" s="46">
        <v>31</v>
      </c>
      <c r="O67" s="46">
        <f>SUM(テーブル1[[#This Row],[列11]:[列12]])</f>
        <v>40</v>
      </c>
      <c r="P67" s="46"/>
      <c r="Q67" s="46"/>
      <c r="R67" s="46">
        <f t="shared" si="1"/>
        <v>90</v>
      </c>
      <c r="S67" s="25">
        <f t="shared" si="2"/>
        <v>300009</v>
      </c>
      <c r="T67" s="25">
        <f>COUNTIF($V$4:V67,V67)</f>
        <v>3</v>
      </c>
      <c r="U67" s="25" t="str">
        <f>IF(T67=1,COUNTIF($T$4:T67,1),"")</f>
        <v/>
      </c>
      <c r="V67" s="26" t="str">
        <f>'施設状況(要更新)'!$E67&amp;'施設状況(要更新)'!$C67</f>
        <v>東区01保育所</v>
      </c>
      <c r="W67" s="26" t="str">
        <f>'施設状況(要更新)'!$F67</f>
        <v>札苗北保育園</v>
      </c>
      <c r="X67" s="27"/>
      <c r="Y67" s="26"/>
      <c r="Z67" s="26"/>
      <c r="AA67" s="26"/>
    </row>
    <row r="68" spans="1:27">
      <c r="A68" s="45">
        <v>300010</v>
      </c>
      <c r="B68" s="46" t="s">
        <v>277</v>
      </c>
      <c r="C68" s="46" t="s">
        <v>626</v>
      </c>
      <c r="D68" s="46" t="s">
        <v>1027</v>
      </c>
      <c r="E68" s="46" t="s">
        <v>315</v>
      </c>
      <c r="F68" s="46" t="s">
        <v>319</v>
      </c>
      <c r="G68" s="46"/>
      <c r="H68" s="46"/>
      <c r="I68" s="46"/>
      <c r="J68" s="46">
        <v>60</v>
      </c>
      <c r="K68" s="46">
        <v>0</v>
      </c>
      <c r="L68" s="46">
        <v>33</v>
      </c>
      <c r="M68" s="46">
        <v>6</v>
      </c>
      <c r="N68" s="46">
        <v>21</v>
      </c>
      <c r="O68" s="46">
        <f>SUM(テーブル1[[#This Row],[列11]:[列12]])</f>
        <v>27</v>
      </c>
      <c r="P68" s="46"/>
      <c r="Q68" s="46"/>
      <c r="R68" s="46">
        <f t="shared" si="1"/>
        <v>60</v>
      </c>
      <c r="S68" s="25">
        <f t="shared" si="2"/>
        <v>300010</v>
      </c>
      <c r="T68" s="25">
        <f>COUNTIF($V$4:V68,V68)</f>
        <v>4</v>
      </c>
      <c r="U68" s="25" t="str">
        <f>IF(T68=1,COUNTIF($T$4:T68,1),"")</f>
        <v/>
      </c>
      <c r="V68" s="26" t="str">
        <f>'施設状況(要更新)'!$E68&amp;'施設状況(要更新)'!$C68</f>
        <v>東区01保育所</v>
      </c>
      <c r="W68" s="26" t="str">
        <f>'施設状況(要更新)'!$F68</f>
        <v>ちゃいれっく北８条東保育園</v>
      </c>
      <c r="X68" s="27"/>
      <c r="Y68" s="26"/>
      <c r="Z68" s="26"/>
      <c r="AA68" s="26"/>
    </row>
    <row r="69" spans="1:27">
      <c r="A69" s="45">
        <v>300012</v>
      </c>
      <c r="B69" s="46" t="s">
        <v>277</v>
      </c>
      <c r="C69" s="46" t="s">
        <v>626</v>
      </c>
      <c r="D69" s="46" t="s">
        <v>1027</v>
      </c>
      <c r="E69" s="46" t="s">
        <v>315</v>
      </c>
      <c r="F69" s="46" t="s">
        <v>320</v>
      </c>
      <c r="G69" s="46"/>
      <c r="H69" s="46"/>
      <c r="I69" s="46"/>
      <c r="J69" s="46">
        <v>94</v>
      </c>
      <c r="K69" s="46">
        <v>0</v>
      </c>
      <c r="L69" s="46">
        <v>48</v>
      </c>
      <c r="M69" s="46">
        <v>10</v>
      </c>
      <c r="N69" s="46">
        <v>32</v>
      </c>
      <c r="O69" s="46">
        <f>SUM(テーブル1[[#This Row],[列11]:[列12]])</f>
        <v>42</v>
      </c>
      <c r="P69" s="46"/>
      <c r="Q69" s="46"/>
      <c r="R69" s="46">
        <f t="shared" ref="R69:R132" si="9">SUM(K69,L69,O69)</f>
        <v>90</v>
      </c>
      <c r="S69" s="25">
        <f t="shared" ref="S69:S132" si="10">A69</f>
        <v>300012</v>
      </c>
      <c r="T69" s="25">
        <f>COUNTIF($V$4:V69,V69)</f>
        <v>5</v>
      </c>
      <c r="U69" s="25" t="str">
        <f>IF(T69=1,COUNTIF($T$4:T69,1),"")</f>
        <v/>
      </c>
      <c r="V69" s="26" t="str">
        <f>'施設状況(要更新)'!$E69&amp;'施設状況(要更新)'!$C69</f>
        <v>東区01保育所</v>
      </c>
      <c r="W69" s="26" t="str">
        <f>'施設状況(要更新)'!$F69</f>
        <v>苗穂保育園</v>
      </c>
      <c r="X69" s="27"/>
      <c r="Y69" s="26"/>
      <c r="Z69" s="26"/>
      <c r="AA69" s="26"/>
    </row>
    <row r="70" spans="1:27">
      <c r="A70" s="45">
        <v>300014</v>
      </c>
      <c r="B70" s="46" t="s">
        <v>277</v>
      </c>
      <c r="C70" s="46" t="s">
        <v>626</v>
      </c>
      <c r="D70" s="46" t="s">
        <v>1027</v>
      </c>
      <c r="E70" s="46" t="s">
        <v>315</v>
      </c>
      <c r="F70" s="46" t="s">
        <v>321</v>
      </c>
      <c r="G70" s="46"/>
      <c r="H70" s="46"/>
      <c r="I70" s="46"/>
      <c r="J70" s="46">
        <v>90</v>
      </c>
      <c r="K70" s="46">
        <v>0</v>
      </c>
      <c r="L70" s="46">
        <v>48</v>
      </c>
      <c r="M70" s="46">
        <v>13</v>
      </c>
      <c r="N70" s="46">
        <v>29</v>
      </c>
      <c r="O70" s="46">
        <f>SUM(テーブル1[[#This Row],[列11]:[列12]])</f>
        <v>42</v>
      </c>
      <c r="P70" s="46"/>
      <c r="Q70" s="46"/>
      <c r="R70" s="46">
        <f t="shared" si="9"/>
        <v>90</v>
      </c>
      <c r="S70" s="25">
        <f t="shared" si="10"/>
        <v>300014</v>
      </c>
      <c r="T70" s="25">
        <f>COUNTIF($V$4:V70,V70)</f>
        <v>6</v>
      </c>
      <c r="U70" s="25" t="str">
        <f>IF(T70=1,COUNTIF($T$4:T70,1),"")</f>
        <v/>
      </c>
      <c r="V70" s="26" t="str">
        <f>'施設状況(要更新)'!$E70&amp;'施設状況(要更新)'!$C70</f>
        <v>東区01保育所</v>
      </c>
      <c r="W70" s="26" t="str">
        <f>'施設状況(要更新)'!$F70</f>
        <v>札幌第２福ちゃん保育園</v>
      </c>
      <c r="X70" s="27"/>
      <c r="Y70" s="26"/>
      <c r="Z70" s="26"/>
      <c r="AA70" s="26"/>
    </row>
    <row r="71" spans="1:27">
      <c r="A71" s="45">
        <v>300016</v>
      </c>
      <c r="B71" s="46" t="s">
        <v>277</v>
      </c>
      <c r="C71" s="46" t="s">
        <v>626</v>
      </c>
      <c r="D71" s="46" t="s">
        <v>1027</v>
      </c>
      <c r="E71" s="46" t="s">
        <v>315</v>
      </c>
      <c r="F71" s="46" t="s">
        <v>322</v>
      </c>
      <c r="G71" s="46"/>
      <c r="H71" s="46"/>
      <c r="I71" s="46"/>
      <c r="J71" s="46">
        <v>90</v>
      </c>
      <c r="K71" s="46">
        <v>0</v>
      </c>
      <c r="L71" s="46">
        <v>54</v>
      </c>
      <c r="M71" s="46">
        <v>6</v>
      </c>
      <c r="N71" s="46">
        <v>30</v>
      </c>
      <c r="O71" s="46">
        <f>SUM(テーブル1[[#This Row],[列11]:[列12]])</f>
        <v>36</v>
      </c>
      <c r="P71" s="46"/>
      <c r="Q71" s="46"/>
      <c r="R71" s="46">
        <f t="shared" si="9"/>
        <v>90</v>
      </c>
      <c r="S71" s="25">
        <f t="shared" si="10"/>
        <v>300016</v>
      </c>
      <c r="T71" s="25">
        <f>COUNTIF($V$4:V71,V71)</f>
        <v>7</v>
      </c>
      <c r="U71" s="25" t="str">
        <f>IF(T71=1,COUNTIF($T$4:T71,1),"")</f>
        <v/>
      </c>
      <c r="V71" s="26" t="str">
        <f>'施設状況(要更新)'!$E71&amp;'施設状況(要更新)'!$C71</f>
        <v>東区01保育所</v>
      </c>
      <c r="W71" s="26" t="str">
        <f>'施設状況(要更新)'!$F71</f>
        <v>札幌厚成福祉会第二保育所</v>
      </c>
      <c r="X71" s="27"/>
      <c r="Y71" s="26"/>
      <c r="Z71" s="26"/>
      <c r="AA71" s="26"/>
    </row>
    <row r="72" spans="1:27">
      <c r="A72" s="45">
        <v>300019</v>
      </c>
      <c r="B72" s="46" t="s">
        <v>277</v>
      </c>
      <c r="C72" s="46" t="s">
        <v>626</v>
      </c>
      <c r="D72" s="46" t="s">
        <v>1027</v>
      </c>
      <c r="E72" s="46" t="s">
        <v>315</v>
      </c>
      <c r="F72" s="46" t="s">
        <v>323</v>
      </c>
      <c r="G72" s="46"/>
      <c r="H72" s="46"/>
      <c r="I72" s="46"/>
      <c r="J72" s="46">
        <v>120</v>
      </c>
      <c r="K72" s="46">
        <v>0</v>
      </c>
      <c r="L72" s="46">
        <v>69</v>
      </c>
      <c r="M72" s="46">
        <v>12</v>
      </c>
      <c r="N72" s="46">
        <v>39</v>
      </c>
      <c r="O72" s="46">
        <f>SUM(テーブル1[[#This Row],[列11]:[列12]])</f>
        <v>51</v>
      </c>
      <c r="P72" s="46"/>
      <c r="Q72" s="46"/>
      <c r="R72" s="46">
        <f t="shared" si="9"/>
        <v>120</v>
      </c>
      <c r="S72" s="25">
        <f t="shared" si="10"/>
        <v>300019</v>
      </c>
      <c r="T72" s="25">
        <f>COUNTIF($V$4:V72,V72)</f>
        <v>8</v>
      </c>
      <c r="U72" s="25" t="str">
        <f>IF(T72=1,COUNTIF($T$4:T72,1),"")</f>
        <v/>
      </c>
      <c r="V72" s="26" t="str">
        <f>'施設状況(要更新)'!$E72&amp;'施設状況(要更新)'!$C72</f>
        <v>東区01保育所</v>
      </c>
      <c r="W72" s="26" t="str">
        <f>'施設状況(要更新)'!$F72</f>
        <v>明園保育園</v>
      </c>
      <c r="X72" s="27"/>
      <c r="Y72" s="26"/>
      <c r="Z72" s="26"/>
      <c r="AA72" s="26"/>
    </row>
    <row r="73" spans="1:27">
      <c r="A73" s="45">
        <v>300021</v>
      </c>
      <c r="B73" s="46" t="s">
        <v>277</v>
      </c>
      <c r="C73" s="46" t="s">
        <v>626</v>
      </c>
      <c r="D73" s="46" t="s">
        <v>1027</v>
      </c>
      <c r="E73" s="46" t="s">
        <v>315</v>
      </c>
      <c r="F73" s="46" t="s">
        <v>324</v>
      </c>
      <c r="G73" s="46"/>
      <c r="H73" s="46"/>
      <c r="I73" s="46"/>
      <c r="J73" s="46">
        <v>120</v>
      </c>
      <c r="K73" s="46">
        <v>0</v>
      </c>
      <c r="L73" s="46">
        <v>71</v>
      </c>
      <c r="M73" s="46">
        <v>8</v>
      </c>
      <c r="N73" s="46">
        <v>41</v>
      </c>
      <c r="O73" s="46">
        <f>SUM(テーブル1[[#This Row],[列11]:[列12]])</f>
        <v>49</v>
      </c>
      <c r="P73" s="46"/>
      <c r="Q73" s="46"/>
      <c r="R73" s="46">
        <f t="shared" si="9"/>
        <v>120</v>
      </c>
      <c r="S73" s="25">
        <f t="shared" si="10"/>
        <v>300021</v>
      </c>
      <c r="T73" s="25">
        <f>COUNTIF($V$4:V73,V73)</f>
        <v>9</v>
      </c>
      <c r="U73" s="25" t="str">
        <f>IF(T73=1,COUNTIF($T$4:T73,1),"")</f>
        <v/>
      </c>
      <c r="V73" s="26" t="str">
        <f>'施設状況(要更新)'!$E73&amp;'施設状況(要更新)'!$C73</f>
        <v>東区01保育所</v>
      </c>
      <c r="W73" s="26" t="str">
        <f>'施設状況(要更新)'!$F73</f>
        <v>はらっぱ保育園</v>
      </c>
      <c r="X73" s="27"/>
      <c r="Y73" s="26"/>
      <c r="Z73" s="26"/>
      <c r="AA73" s="26"/>
    </row>
    <row r="74" spans="1:27">
      <c r="A74" s="45">
        <v>300023</v>
      </c>
      <c r="B74" s="46" t="s">
        <v>277</v>
      </c>
      <c r="C74" s="46" t="s">
        <v>626</v>
      </c>
      <c r="D74" s="46" t="s">
        <v>1027</v>
      </c>
      <c r="E74" s="46" t="s">
        <v>315</v>
      </c>
      <c r="F74" s="46" t="s">
        <v>325</v>
      </c>
      <c r="G74" s="46"/>
      <c r="H74" s="46"/>
      <c r="I74" s="46"/>
      <c r="J74" s="46">
        <v>60</v>
      </c>
      <c r="K74" s="46">
        <v>0</v>
      </c>
      <c r="L74" s="46">
        <v>30</v>
      </c>
      <c r="M74" s="46">
        <v>10</v>
      </c>
      <c r="N74" s="46">
        <v>20</v>
      </c>
      <c r="O74" s="46">
        <f>SUM(テーブル1[[#This Row],[列11]:[列12]])</f>
        <v>30</v>
      </c>
      <c r="P74" s="46"/>
      <c r="Q74" s="46"/>
      <c r="R74" s="46">
        <f t="shared" si="9"/>
        <v>60</v>
      </c>
      <c r="S74" s="25">
        <f t="shared" si="10"/>
        <v>300023</v>
      </c>
      <c r="T74" s="25">
        <f>COUNTIF($V$4:V74,V74)</f>
        <v>10</v>
      </c>
      <c r="U74" s="25" t="str">
        <f>IF(T74=1,COUNTIF($T$4:T74,1),"")</f>
        <v/>
      </c>
      <c r="V74" s="26" t="str">
        <f>'施設状況(要更新)'!$E74&amp;'施設状況(要更新)'!$C74</f>
        <v>東区01保育所</v>
      </c>
      <c r="W74" s="26" t="str">
        <f>'施設状況(要更新)'!$F74</f>
        <v>心の里親保育園</v>
      </c>
      <c r="X74" s="27"/>
      <c r="Y74" s="26"/>
      <c r="Z74" s="26"/>
      <c r="AA74" s="26"/>
    </row>
    <row r="75" spans="1:27">
      <c r="A75" s="45">
        <v>300024</v>
      </c>
      <c r="B75" s="46" t="s">
        <v>277</v>
      </c>
      <c r="C75" s="46" t="s">
        <v>626</v>
      </c>
      <c r="D75" s="46" t="s">
        <v>1027</v>
      </c>
      <c r="E75" s="46" t="s">
        <v>315</v>
      </c>
      <c r="F75" s="46" t="s">
        <v>326</v>
      </c>
      <c r="G75" s="46"/>
      <c r="H75" s="46"/>
      <c r="I75" s="46"/>
      <c r="J75" s="46">
        <v>60</v>
      </c>
      <c r="K75" s="46">
        <v>0</v>
      </c>
      <c r="L75" s="46">
        <v>30</v>
      </c>
      <c r="M75" s="46">
        <v>10</v>
      </c>
      <c r="N75" s="46">
        <v>20</v>
      </c>
      <c r="O75" s="46">
        <f>SUM(テーブル1[[#This Row],[列11]:[列12]])</f>
        <v>30</v>
      </c>
      <c r="P75" s="46"/>
      <c r="Q75" s="46"/>
      <c r="R75" s="46">
        <f t="shared" si="9"/>
        <v>60</v>
      </c>
      <c r="S75" s="25">
        <f t="shared" si="10"/>
        <v>300024</v>
      </c>
      <c r="T75" s="25">
        <f>COUNTIF($V$4:V75,V75)</f>
        <v>11</v>
      </c>
      <c r="U75" s="25" t="str">
        <f>IF(T75=1,COUNTIF($T$4:T75,1),"")</f>
        <v/>
      </c>
      <c r="V75" s="26" t="str">
        <f>'施設状況(要更新)'!$E75&amp;'施設状況(要更新)'!$C75</f>
        <v>東区01保育所</v>
      </c>
      <c r="W75" s="26" t="str">
        <f>'施設状況(要更新)'!$F75</f>
        <v>元町保育園</v>
      </c>
      <c r="X75" s="27"/>
      <c r="Y75" s="26"/>
      <c r="Z75" s="26"/>
      <c r="AA75" s="26"/>
    </row>
    <row r="76" spans="1:27">
      <c r="A76" s="45">
        <v>300027</v>
      </c>
      <c r="B76" s="46" t="s">
        <v>277</v>
      </c>
      <c r="C76" s="46" t="s">
        <v>626</v>
      </c>
      <c r="D76" s="46" t="s">
        <v>1027</v>
      </c>
      <c r="E76" s="46" t="s">
        <v>315</v>
      </c>
      <c r="F76" s="46" t="s">
        <v>327</v>
      </c>
      <c r="G76" s="46"/>
      <c r="H76" s="46"/>
      <c r="I76" s="46"/>
      <c r="J76" s="46">
        <v>100</v>
      </c>
      <c r="K76" s="46">
        <v>0</v>
      </c>
      <c r="L76" s="46">
        <v>49</v>
      </c>
      <c r="M76" s="46">
        <v>9</v>
      </c>
      <c r="N76" s="46">
        <v>32</v>
      </c>
      <c r="O76" s="46">
        <f>SUM(テーブル1[[#This Row],[列11]:[列12]])</f>
        <v>41</v>
      </c>
      <c r="P76" s="46"/>
      <c r="Q76" s="46"/>
      <c r="R76" s="46">
        <f t="shared" si="9"/>
        <v>90</v>
      </c>
      <c r="S76" s="25">
        <f t="shared" si="10"/>
        <v>300027</v>
      </c>
      <c r="T76" s="25">
        <f>COUNTIF($V$4:V76,V76)</f>
        <v>12</v>
      </c>
      <c r="U76" s="25" t="str">
        <f>IF(T76=1,COUNTIF($T$4:T76,1),"")</f>
        <v/>
      </c>
      <c r="V76" s="26" t="str">
        <f>'施設状況(要更新)'!$E76&amp;'施設状況(要更新)'!$C76</f>
        <v>東区01保育所</v>
      </c>
      <c r="W76" s="26" t="str">
        <f>'施設状況(要更新)'!$F76</f>
        <v>モエレはとポッポ保育園</v>
      </c>
      <c r="X76" s="27"/>
      <c r="Y76" s="26"/>
      <c r="Z76" s="26"/>
      <c r="AA76" s="26"/>
    </row>
    <row r="77" spans="1:27">
      <c r="A77" s="45">
        <v>300032</v>
      </c>
      <c r="B77" s="46" t="s">
        <v>277</v>
      </c>
      <c r="C77" s="46" t="s">
        <v>626</v>
      </c>
      <c r="D77" s="46" t="s">
        <v>1027</v>
      </c>
      <c r="E77" s="46" t="s">
        <v>315</v>
      </c>
      <c r="F77" s="46" t="s">
        <v>328</v>
      </c>
      <c r="G77" s="46"/>
      <c r="H77" s="46"/>
      <c r="I77" s="46"/>
      <c r="J77" s="46">
        <v>90</v>
      </c>
      <c r="K77" s="46">
        <v>0</v>
      </c>
      <c r="L77" s="46">
        <v>51</v>
      </c>
      <c r="M77" s="46">
        <v>9</v>
      </c>
      <c r="N77" s="46">
        <v>30</v>
      </c>
      <c r="O77" s="46">
        <f>SUM(テーブル1[[#This Row],[列11]:[列12]])</f>
        <v>39</v>
      </c>
      <c r="P77" s="46"/>
      <c r="Q77" s="46"/>
      <c r="R77" s="46">
        <f t="shared" si="9"/>
        <v>90</v>
      </c>
      <c r="S77" s="25">
        <f t="shared" si="10"/>
        <v>300032</v>
      </c>
      <c r="T77" s="25">
        <f>COUNTIF($V$4:V77,V77)</f>
        <v>13</v>
      </c>
      <c r="U77" s="25" t="str">
        <f>IF(T77=1,COUNTIF($T$4:T77,1),"")</f>
        <v/>
      </c>
      <c r="V77" s="26" t="str">
        <f>'施設状況(要更新)'!$E77&amp;'施設状況(要更新)'!$C77</f>
        <v>東区01保育所</v>
      </c>
      <c r="W77" s="26" t="str">
        <f>'施設状況(要更新)'!$F77</f>
        <v>光星はとポッポ保育園</v>
      </c>
      <c r="X77" s="27"/>
      <c r="Y77" s="26"/>
      <c r="Z77" s="26"/>
      <c r="AA77" s="26"/>
    </row>
    <row r="78" spans="1:27">
      <c r="A78" s="45">
        <v>300035</v>
      </c>
      <c r="B78" s="46" t="s">
        <v>277</v>
      </c>
      <c r="C78" s="46" t="s">
        <v>626</v>
      </c>
      <c r="D78" s="46" t="s">
        <v>1027</v>
      </c>
      <c r="E78" s="46" t="s">
        <v>315</v>
      </c>
      <c r="F78" s="46" t="s">
        <v>329</v>
      </c>
      <c r="G78" s="46"/>
      <c r="H78" s="46"/>
      <c r="I78" s="46"/>
      <c r="J78" s="46">
        <v>60</v>
      </c>
      <c r="K78" s="46">
        <v>0</v>
      </c>
      <c r="L78" s="46">
        <v>34</v>
      </c>
      <c r="M78" s="46">
        <v>6</v>
      </c>
      <c r="N78" s="46">
        <v>20</v>
      </c>
      <c r="O78" s="46">
        <f>SUM(テーブル1[[#This Row],[列11]:[列12]])</f>
        <v>26</v>
      </c>
      <c r="P78" s="46"/>
      <c r="Q78" s="46"/>
      <c r="R78" s="46">
        <f t="shared" si="9"/>
        <v>60</v>
      </c>
      <c r="S78" s="25">
        <f t="shared" si="10"/>
        <v>300035</v>
      </c>
      <c r="T78" s="25">
        <f>COUNTIF($V$4:V78,V78)</f>
        <v>14</v>
      </c>
      <c r="U78" s="25" t="str">
        <f>IF(T78=1,COUNTIF($T$4:T78,1),"")</f>
        <v/>
      </c>
      <c r="V78" s="26" t="str">
        <f>'施設状況(要更新)'!$E78&amp;'施設状況(要更新)'!$C78</f>
        <v>東区01保育所</v>
      </c>
      <c r="W78" s="26" t="str">
        <f>'施設状況(要更新)'!$F78</f>
        <v>栄町あおぞら保育園</v>
      </c>
      <c r="X78" s="27"/>
      <c r="Y78" s="26"/>
      <c r="Z78" s="26"/>
      <c r="AA78" s="26"/>
    </row>
    <row r="79" spans="1:27">
      <c r="A79" s="45">
        <v>300036</v>
      </c>
      <c r="B79" s="46" t="s">
        <v>277</v>
      </c>
      <c r="C79" s="46" t="s">
        <v>626</v>
      </c>
      <c r="D79" s="46" t="s">
        <v>1027</v>
      </c>
      <c r="E79" s="46" t="s">
        <v>315</v>
      </c>
      <c r="F79" s="46" t="s">
        <v>330</v>
      </c>
      <c r="G79" s="46"/>
      <c r="H79" s="46"/>
      <c r="I79" s="46"/>
      <c r="J79" s="46">
        <v>90</v>
      </c>
      <c r="K79" s="46">
        <v>0</v>
      </c>
      <c r="L79" s="46">
        <v>51</v>
      </c>
      <c r="M79" s="46">
        <v>10</v>
      </c>
      <c r="N79" s="46">
        <v>29</v>
      </c>
      <c r="O79" s="46">
        <f>SUM(テーブル1[[#This Row],[列11]:[列12]])</f>
        <v>39</v>
      </c>
      <c r="P79" s="46"/>
      <c r="Q79" s="46"/>
      <c r="R79" s="46">
        <f t="shared" si="9"/>
        <v>90</v>
      </c>
      <c r="S79" s="25">
        <f t="shared" si="10"/>
        <v>300036</v>
      </c>
      <c r="T79" s="25">
        <f>COUNTIF($V$4:V79,V79)</f>
        <v>15</v>
      </c>
      <c r="U79" s="25" t="str">
        <f>IF(T79=1,COUNTIF($T$4:T79,1),"")</f>
        <v/>
      </c>
      <c r="V79" s="26" t="str">
        <f>'施設状況(要更新)'!$E79&amp;'施設状況(要更新)'!$C79</f>
        <v>東区01保育所</v>
      </c>
      <c r="W79" s="26" t="str">
        <f>'施設状況(要更新)'!$F79</f>
        <v>勤医協ぽぷら保育園</v>
      </c>
      <c r="X79" s="27"/>
      <c r="Y79" s="26"/>
      <c r="Z79" s="26"/>
      <c r="AA79" s="26"/>
    </row>
    <row r="80" spans="1:27">
      <c r="A80" s="45">
        <v>300038</v>
      </c>
      <c r="B80" s="46" t="s">
        <v>277</v>
      </c>
      <c r="C80" s="46" t="s">
        <v>626</v>
      </c>
      <c r="D80" s="46" t="s">
        <v>1027</v>
      </c>
      <c r="E80" s="46" t="s">
        <v>315</v>
      </c>
      <c r="F80" s="46" t="s">
        <v>331</v>
      </c>
      <c r="G80" s="46"/>
      <c r="H80" s="46"/>
      <c r="I80" s="46"/>
      <c r="J80" s="46">
        <v>120</v>
      </c>
      <c r="K80" s="46">
        <v>0</v>
      </c>
      <c r="L80" s="46">
        <v>62</v>
      </c>
      <c r="M80" s="46">
        <v>12</v>
      </c>
      <c r="N80" s="46">
        <v>36</v>
      </c>
      <c r="O80" s="46">
        <f>SUM(テーブル1[[#This Row],[列11]:[列12]])</f>
        <v>48</v>
      </c>
      <c r="P80" s="46"/>
      <c r="Q80" s="46"/>
      <c r="R80" s="46">
        <f t="shared" si="9"/>
        <v>110</v>
      </c>
      <c r="S80" s="25">
        <f t="shared" si="10"/>
        <v>300038</v>
      </c>
      <c r="T80" s="25">
        <f>COUNTIF($V$4:V80,V80)</f>
        <v>16</v>
      </c>
      <c r="U80" s="25" t="str">
        <f>IF(T80=1,COUNTIF($T$4:T80,1),"")</f>
        <v/>
      </c>
      <c r="V80" s="26" t="str">
        <f>'施設状況(要更新)'!$E80&amp;'施設状況(要更新)'!$C80</f>
        <v>東区01保育所</v>
      </c>
      <c r="W80" s="26" t="str">
        <f>'施設状況(要更新)'!$F80</f>
        <v>愛和新穂保育園</v>
      </c>
      <c r="X80" s="27"/>
      <c r="Y80" s="26"/>
      <c r="Z80" s="26"/>
      <c r="AA80" s="26"/>
    </row>
    <row r="81" spans="1:33">
      <c r="A81" s="45">
        <v>300040</v>
      </c>
      <c r="B81" s="46" t="s">
        <v>277</v>
      </c>
      <c r="C81" s="46" t="s">
        <v>626</v>
      </c>
      <c r="D81" s="46" t="s">
        <v>1027</v>
      </c>
      <c r="E81" s="46" t="s">
        <v>315</v>
      </c>
      <c r="F81" s="46" t="s">
        <v>332</v>
      </c>
      <c r="G81" s="46"/>
      <c r="H81" s="46"/>
      <c r="I81" s="46"/>
      <c r="J81" s="46">
        <v>90</v>
      </c>
      <c r="K81" s="46">
        <v>0</v>
      </c>
      <c r="L81" s="46">
        <v>55</v>
      </c>
      <c r="M81" s="46">
        <v>9</v>
      </c>
      <c r="N81" s="46">
        <v>26</v>
      </c>
      <c r="O81" s="46">
        <f>SUM(テーブル1[[#This Row],[列11]:[列12]])</f>
        <v>35</v>
      </c>
      <c r="P81" s="46"/>
      <c r="Q81" s="46"/>
      <c r="R81" s="46">
        <f t="shared" si="9"/>
        <v>90</v>
      </c>
      <c r="S81" s="25">
        <f t="shared" si="10"/>
        <v>300040</v>
      </c>
      <c r="T81" s="25">
        <f>COUNTIF($V$4:V81,V81)</f>
        <v>17</v>
      </c>
      <c r="U81" s="25" t="str">
        <f>IF(T81=1,COUNTIF($T$4:T81,1),"")</f>
        <v/>
      </c>
      <c r="V81" s="26" t="str">
        <f>'施設状況(要更新)'!$E81&amp;'施設状況(要更新)'!$C81</f>
        <v>東区01保育所</v>
      </c>
      <c r="W81" s="26" t="str">
        <f>'施設状況(要更新)'!$F81</f>
        <v>かりき保育園</v>
      </c>
      <c r="X81" s="27"/>
      <c r="Y81" s="26"/>
      <c r="Z81" s="26"/>
      <c r="AA81" s="26"/>
    </row>
    <row r="82" spans="1:33">
      <c r="A82" s="45">
        <v>300063</v>
      </c>
      <c r="B82" s="46" t="s">
        <v>277</v>
      </c>
      <c r="C82" s="46" t="s">
        <v>626</v>
      </c>
      <c r="D82" s="46" t="s">
        <v>1027</v>
      </c>
      <c r="E82" s="46" t="s">
        <v>315</v>
      </c>
      <c r="F82" s="46" t="s">
        <v>333</v>
      </c>
      <c r="G82" s="46"/>
      <c r="H82" s="46"/>
      <c r="I82" s="46"/>
      <c r="J82" s="46">
        <v>90</v>
      </c>
      <c r="K82" s="46">
        <v>0</v>
      </c>
      <c r="L82" s="46">
        <v>49</v>
      </c>
      <c r="M82" s="46">
        <v>9</v>
      </c>
      <c r="N82" s="46">
        <v>32</v>
      </c>
      <c r="O82" s="46">
        <f>SUM(テーブル1[[#This Row],[列11]:[列12]])</f>
        <v>41</v>
      </c>
      <c r="P82" s="46"/>
      <c r="Q82" s="46"/>
      <c r="R82" s="46">
        <f t="shared" si="9"/>
        <v>90</v>
      </c>
      <c r="S82" s="25">
        <f t="shared" si="10"/>
        <v>300063</v>
      </c>
      <c r="T82" s="25">
        <f>COUNTIF($V$4:V82,V82)</f>
        <v>18</v>
      </c>
      <c r="U82" s="25" t="str">
        <f>IF(T82=1,COUNTIF($T$4:T82,1),"")</f>
        <v/>
      </c>
      <c r="V82" s="26" t="str">
        <f>'施設状況(要更新)'!$E82&amp;'施設状況(要更新)'!$C82</f>
        <v>東区01保育所</v>
      </c>
      <c r="W82" s="26" t="str">
        <f>'施設状況(要更新)'!$F82</f>
        <v>アートチャイルドケア札幌元町</v>
      </c>
      <c r="X82" s="27"/>
      <c r="Y82" s="26"/>
      <c r="Z82" s="26"/>
      <c r="AA82" s="26"/>
      <c r="AB82" s="26"/>
      <c r="AC82" s="26"/>
      <c r="AD82" s="26"/>
      <c r="AE82" s="26"/>
      <c r="AF82" s="26"/>
      <c r="AG82" s="26"/>
    </row>
    <row r="83" spans="1:33">
      <c r="A83" s="45">
        <v>300081</v>
      </c>
      <c r="B83" s="46" t="s">
        <v>277</v>
      </c>
      <c r="C83" s="46" t="s">
        <v>626</v>
      </c>
      <c r="D83" s="46" t="s">
        <v>1027</v>
      </c>
      <c r="E83" s="46" t="s">
        <v>315</v>
      </c>
      <c r="F83" s="46" t="s">
        <v>1046</v>
      </c>
      <c r="G83" s="46"/>
      <c r="H83" s="46"/>
      <c r="I83" s="46"/>
      <c r="J83" s="46">
        <v>60</v>
      </c>
      <c r="K83" s="46">
        <v>0</v>
      </c>
      <c r="L83" s="46">
        <v>33</v>
      </c>
      <c r="M83" s="46">
        <v>6</v>
      </c>
      <c r="N83" s="46">
        <v>21</v>
      </c>
      <c r="O83" s="46">
        <f>SUM(テーブル1[[#This Row],[列11]:[列12]])</f>
        <v>27</v>
      </c>
      <c r="P83" s="46"/>
      <c r="Q83" s="46"/>
      <c r="R83" s="46">
        <f t="shared" si="9"/>
        <v>60</v>
      </c>
      <c r="S83" s="25">
        <f t="shared" si="10"/>
        <v>300081</v>
      </c>
      <c r="T83" s="25">
        <f>COUNTIF($V$4:V83,V83)</f>
        <v>19</v>
      </c>
      <c r="U83" s="25" t="str">
        <f>IF(T83=1,COUNTIF($T$4:T83,1),"")</f>
        <v/>
      </c>
      <c r="V83" s="26" t="str">
        <f>'施設状況(要更新)'!$E83&amp;'施設状況(要更新)'!$C83</f>
        <v>東区01保育所</v>
      </c>
      <c r="W83" s="26" t="str">
        <f>'施設状況(要更新)'!$F83</f>
        <v>札幌麻生雲母保育園</v>
      </c>
      <c r="X83" s="27"/>
      <c r="Y83" s="26"/>
      <c r="Z83" s="26"/>
      <c r="AA83" s="26"/>
    </row>
    <row r="84" spans="1:33">
      <c r="A84" s="45">
        <v>300093</v>
      </c>
      <c r="B84" s="46" t="s">
        <v>277</v>
      </c>
      <c r="C84" s="46" t="s">
        <v>626</v>
      </c>
      <c r="D84" s="46" t="s">
        <v>1027</v>
      </c>
      <c r="E84" s="46" t="s">
        <v>315</v>
      </c>
      <c r="F84" s="46" t="s">
        <v>1047</v>
      </c>
      <c r="G84" s="46"/>
      <c r="H84" s="46"/>
      <c r="I84" s="46"/>
      <c r="J84" s="46">
        <v>90</v>
      </c>
      <c r="K84" s="46">
        <v>0</v>
      </c>
      <c r="L84" s="46">
        <v>51</v>
      </c>
      <c r="M84" s="46">
        <v>5</v>
      </c>
      <c r="N84" s="46">
        <v>34</v>
      </c>
      <c r="O84" s="46">
        <f>SUM(テーブル1[[#This Row],[列11]:[列12]])</f>
        <v>39</v>
      </c>
      <c r="P84" s="46"/>
      <c r="Q84" s="46"/>
      <c r="R84" s="46">
        <f t="shared" si="9"/>
        <v>90</v>
      </c>
      <c r="S84" s="25">
        <f t="shared" si="10"/>
        <v>300093</v>
      </c>
      <c r="T84" s="25">
        <f>COUNTIF($V$4:V84,V84)</f>
        <v>20</v>
      </c>
      <c r="U84" s="25" t="str">
        <f>IF(T84=1,COUNTIF($T$4:T84,1),"")</f>
        <v/>
      </c>
      <c r="V84" s="26" t="str">
        <f>'施設状況(要更新)'!$E84&amp;'施設状況(要更新)'!$C84</f>
        <v>東区01保育所</v>
      </c>
      <c r="W84" s="26" t="str">
        <f>'施設状況(要更新)'!$F84</f>
        <v>もえれ保育園</v>
      </c>
      <c r="X84" s="27"/>
      <c r="Y84" s="26"/>
      <c r="Z84" s="26"/>
      <c r="AA84" s="26"/>
    </row>
    <row r="85" spans="1:33">
      <c r="A85" s="45">
        <v>300105</v>
      </c>
      <c r="B85" s="46" t="s">
        <v>277</v>
      </c>
      <c r="C85" s="46" t="s">
        <v>626</v>
      </c>
      <c r="D85" s="46" t="s">
        <v>1027</v>
      </c>
      <c r="E85" s="46" t="s">
        <v>315</v>
      </c>
      <c r="F85" s="46" t="s">
        <v>1048</v>
      </c>
      <c r="G85" s="46"/>
      <c r="H85" s="46"/>
      <c r="I85" s="46"/>
      <c r="J85" s="46">
        <v>40</v>
      </c>
      <c r="K85" s="46">
        <v>0</v>
      </c>
      <c r="L85" s="46">
        <v>24</v>
      </c>
      <c r="M85" s="46">
        <v>2</v>
      </c>
      <c r="N85" s="46">
        <v>14</v>
      </c>
      <c r="O85" s="46">
        <f>SUM(テーブル1[[#This Row],[列11]:[列12]])</f>
        <v>16</v>
      </c>
      <c r="P85" s="46"/>
      <c r="Q85" s="46"/>
      <c r="R85" s="46">
        <f t="shared" si="9"/>
        <v>40</v>
      </c>
      <c r="S85" s="25">
        <f t="shared" si="10"/>
        <v>300105</v>
      </c>
      <c r="T85" s="25">
        <f>COUNTIF($V$4:V85,V85)</f>
        <v>21</v>
      </c>
      <c r="U85" s="25" t="str">
        <f>IF(T85=1,COUNTIF($T$4:T85,1),"")</f>
        <v/>
      </c>
      <c r="V85" s="26" t="str">
        <f>'施設状況(要更新)'!$E85&amp;'施設状況(要更新)'!$C85</f>
        <v>東区01保育所</v>
      </c>
      <c r="W85" s="26" t="str">
        <f>'施設状況(要更新)'!$F85</f>
        <v>まことさつなえ保育園</v>
      </c>
      <c r="X85" s="27"/>
      <c r="Y85" s="26"/>
      <c r="Z85" s="26"/>
      <c r="AA85" s="26"/>
    </row>
    <row r="86" spans="1:33">
      <c r="A86" s="45">
        <v>300106</v>
      </c>
      <c r="B86" s="46" t="s">
        <v>277</v>
      </c>
      <c r="C86" s="46" t="s">
        <v>626</v>
      </c>
      <c r="D86" s="46" t="s">
        <v>1027</v>
      </c>
      <c r="E86" s="46" t="s">
        <v>315</v>
      </c>
      <c r="F86" s="46" t="s">
        <v>1049</v>
      </c>
      <c r="G86" s="46"/>
      <c r="H86" s="46"/>
      <c r="I86" s="46"/>
      <c r="J86" s="46">
        <v>50</v>
      </c>
      <c r="K86" s="46">
        <v>0</v>
      </c>
      <c r="L86" s="46">
        <v>30</v>
      </c>
      <c r="M86" s="46">
        <v>3</v>
      </c>
      <c r="N86" s="46">
        <v>17</v>
      </c>
      <c r="O86" s="46">
        <f>SUM(テーブル1[[#This Row],[列11]:[列12]])</f>
        <v>20</v>
      </c>
      <c r="P86" s="46"/>
      <c r="Q86" s="46"/>
      <c r="R86" s="46">
        <f t="shared" si="9"/>
        <v>50</v>
      </c>
      <c r="S86" s="25">
        <f t="shared" si="10"/>
        <v>300106</v>
      </c>
      <c r="T86" s="25">
        <f>COUNTIF($V$4:V86,V86)</f>
        <v>22</v>
      </c>
      <c r="U86" s="25" t="str">
        <f>IF(T86=1,COUNTIF($T$4:T86,1),"")</f>
        <v/>
      </c>
      <c r="V86" s="26" t="str">
        <f>'施設状況(要更新)'!$E86&amp;'施設状況(要更新)'!$C86</f>
        <v>東区01保育所</v>
      </c>
      <c r="W86" s="26" t="str">
        <f>'施設状況(要更新)'!$F86</f>
        <v>まことさっぽろ保育園</v>
      </c>
      <c r="X86" s="27"/>
      <c r="Y86" s="26"/>
      <c r="Z86" s="26"/>
      <c r="AA86" s="26"/>
    </row>
    <row r="87" spans="1:33">
      <c r="A87" s="45">
        <v>300107</v>
      </c>
      <c r="B87" s="46" t="s">
        <v>277</v>
      </c>
      <c r="C87" s="46" t="s">
        <v>626</v>
      </c>
      <c r="D87" s="46" t="s">
        <v>1027</v>
      </c>
      <c r="E87" s="46" t="s">
        <v>315</v>
      </c>
      <c r="F87" s="46" t="s">
        <v>1050</v>
      </c>
      <c r="G87" s="46"/>
      <c r="H87" s="46"/>
      <c r="I87" s="46"/>
      <c r="J87" s="46">
        <v>40</v>
      </c>
      <c r="K87" s="46">
        <v>0</v>
      </c>
      <c r="L87" s="46">
        <v>24</v>
      </c>
      <c r="M87" s="46">
        <v>2</v>
      </c>
      <c r="N87" s="46">
        <v>14</v>
      </c>
      <c r="O87" s="46">
        <f>SUM(テーブル1[[#This Row],[列11]:[列12]])</f>
        <v>16</v>
      </c>
      <c r="P87" s="46"/>
      <c r="Q87" s="46"/>
      <c r="R87" s="46">
        <f t="shared" si="9"/>
        <v>40</v>
      </c>
      <c r="S87" s="25">
        <f t="shared" si="10"/>
        <v>300107</v>
      </c>
      <c r="T87" s="25">
        <f>COUNTIF($V$4:V87,V87)</f>
        <v>23</v>
      </c>
      <c r="U87" s="25" t="str">
        <f>IF(T87=1,COUNTIF($T$4:T87,1),"")</f>
        <v/>
      </c>
      <c r="V87" s="26" t="str">
        <f>'施設状況(要更新)'!$E87&amp;'施設状況(要更新)'!$C87</f>
        <v>東区01保育所</v>
      </c>
      <c r="W87" s="26" t="str">
        <f>'施設状況(要更新)'!$F87</f>
        <v>栄南保育園</v>
      </c>
      <c r="X87" s="27"/>
      <c r="Y87" s="26"/>
      <c r="Z87" s="26"/>
      <c r="AA87" s="26"/>
    </row>
    <row r="88" spans="1:33">
      <c r="A88" s="45">
        <v>400010</v>
      </c>
      <c r="B88" s="46" t="s">
        <v>277</v>
      </c>
      <c r="C88" s="46" t="s">
        <v>626</v>
      </c>
      <c r="D88" s="46" t="s">
        <v>1027</v>
      </c>
      <c r="E88" s="46" t="s">
        <v>334</v>
      </c>
      <c r="F88" s="46" t="s">
        <v>335</v>
      </c>
      <c r="G88" s="46"/>
      <c r="H88" s="46"/>
      <c r="I88" s="46"/>
      <c r="J88" s="46">
        <v>70</v>
      </c>
      <c r="K88" s="46">
        <v>0</v>
      </c>
      <c r="L88" s="46">
        <v>38</v>
      </c>
      <c r="M88" s="46">
        <v>8</v>
      </c>
      <c r="N88" s="46">
        <v>24</v>
      </c>
      <c r="O88" s="46">
        <f>SUM(テーブル1[[#This Row],[列11]:[列12]])</f>
        <v>32</v>
      </c>
      <c r="P88" s="46"/>
      <c r="Q88" s="46"/>
      <c r="R88" s="46">
        <f t="shared" si="9"/>
        <v>70</v>
      </c>
      <c r="S88" s="25">
        <f t="shared" si="10"/>
        <v>400010</v>
      </c>
      <c r="T88" s="25">
        <f>COUNTIF($V$4:V88,V88)</f>
        <v>1</v>
      </c>
      <c r="U88" s="25">
        <f>IF(T88=1,COUNTIF($T$4:T88,1),"")</f>
        <v>4</v>
      </c>
      <c r="V88" s="26" t="str">
        <f>'施設状況(要更新)'!$E88&amp;'施設状況(要更新)'!$C88</f>
        <v>白石区01保育所</v>
      </c>
      <c r="W88" s="26" t="str">
        <f>'施設状況(要更新)'!$F88</f>
        <v>東札幌かすたねっと保育園</v>
      </c>
      <c r="X88" s="27"/>
      <c r="Y88" s="26"/>
      <c r="Z88" s="26"/>
      <c r="AA88" s="26"/>
    </row>
    <row r="89" spans="1:33">
      <c r="A89" s="45">
        <v>400012</v>
      </c>
      <c r="B89" s="46" t="s">
        <v>277</v>
      </c>
      <c r="C89" s="46" t="s">
        <v>626</v>
      </c>
      <c r="D89" s="46" t="s">
        <v>1027</v>
      </c>
      <c r="E89" s="46" t="s">
        <v>334</v>
      </c>
      <c r="F89" s="46" t="s">
        <v>336</v>
      </c>
      <c r="G89" s="46"/>
      <c r="H89" s="46"/>
      <c r="I89" s="46"/>
      <c r="J89" s="46">
        <v>130</v>
      </c>
      <c r="K89" s="46">
        <v>0</v>
      </c>
      <c r="L89" s="46">
        <v>78</v>
      </c>
      <c r="M89" s="46">
        <v>12</v>
      </c>
      <c r="N89" s="46">
        <v>40</v>
      </c>
      <c r="O89" s="46">
        <f>SUM(テーブル1[[#This Row],[列11]:[列12]])</f>
        <v>52</v>
      </c>
      <c r="P89" s="46"/>
      <c r="Q89" s="46"/>
      <c r="R89" s="46">
        <f t="shared" si="9"/>
        <v>130</v>
      </c>
      <c r="S89" s="25">
        <f t="shared" si="10"/>
        <v>400012</v>
      </c>
      <c r="T89" s="25">
        <f>COUNTIF($V$4:V89,V89)</f>
        <v>2</v>
      </c>
      <c r="U89" s="25" t="str">
        <f>IF(T89=1,COUNTIF($T$4:T89,1),"")</f>
        <v/>
      </c>
      <c r="V89" s="26" t="str">
        <f>'施設状況(要更新)'!$E89&amp;'施設状況(要更新)'!$C89</f>
        <v>白石区01保育所</v>
      </c>
      <c r="W89" s="26" t="str">
        <f>'施設状況(要更新)'!$F89</f>
        <v>札幌愛隣舘第二保育園</v>
      </c>
      <c r="X89" s="27"/>
      <c r="Y89" s="26"/>
      <c r="Z89" s="26"/>
      <c r="AA89" s="26"/>
    </row>
    <row r="90" spans="1:33">
      <c r="A90" s="45">
        <v>400017</v>
      </c>
      <c r="B90" s="46" t="s">
        <v>277</v>
      </c>
      <c r="C90" s="46" t="s">
        <v>626</v>
      </c>
      <c r="D90" s="46" t="s">
        <v>1027</v>
      </c>
      <c r="E90" s="46" t="s">
        <v>334</v>
      </c>
      <c r="F90" s="46" t="s">
        <v>337</v>
      </c>
      <c r="G90" s="46"/>
      <c r="H90" s="46"/>
      <c r="I90" s="46"/>
      <c r="J90" s="46">
        <v>120</v>
      </c>
      <c r="K90" s="46">
        <v>0</v>
      </c>
      <c r="L90" s="46">
        <v>74</v>
      </c>
      <c r="M90" s="46">
        <v>5</v>
      </c>
      <c r="N90" s="46">
        <v>41</v>
      </c>
      <c r="O90" s="46">
        <f>SUM(テーブル1[[#This Row],[列11]:[列12]])</f>
        <v>46</v>
      </c>
      <c r="P90" s="46"/>
      <c r="Q90" s="46"/>
      <c r="R90" s="46">
        <f t="shared" si="9"/>
        <v>120</v>
      </c>
      <c r="S90" s="25">
        <f t="shared" si="10"/>
        <v>400017</v>
      </c>
      <c r="T90" s="25">
        <f>COUNTIF($V$4:V90,V90)</f>
        <v>3</v>
      </c>
      <c r="U90" s="25" t="str">
        <f>IF(T90=1,COUNTIF($T$4:T90,1),"")</f>
        <v/>
      </c>
      <c r="V90" s="26" t="str">
        <f>'施設状況(要更新)'!$E90&amp;'施設状況(要更新)'!$C90</f>
        <v>白石区01保育所</v>
      </c>
      <c r="W90" s="26" t="str">
        <f>'施設状況(要更新)'!$F90</f>
        <v>菊水元町保育園</v>
      </c>
      <c r="X90" s="27"/>
      <c r="Y90" s="26"/>
      <c r="Z90" s="26"/>
      <c r="AA90" s="26"/>
    </row>
    <row r="91" spans="1:33">
      <c r="A91" s="45">
        <v>400021</v>
      </c>
      <c r="B91" s="46" t="s">
        <v>277</v>
      </c>
      <c r="C91" s="46" t="s">
        <v>626</v>
      </c>
      <c r="D91" s="46" t="s">
        <v>1027</v>
      </c>
      <c r="E91" s="46" t="s">
        <v>334</v>
      </c>
      <c r="F91" s="46" t="s">
        <v>338</v>
      </c>
      <c r="G91" s="46"/>
      <c r="H91" s="46"/>
      <c r="I91" s="46"/>
      <c r="J91" s="46">
        <v>160</v>
      </c>
      <c r="K91" s="46">
        <v>0</v>
      </c>
      <c r="L91" s="46">
        <v>90</v>
      </c>
      <c r="M91" s="46">
        <v>20</v>
      </c>
      <c r="N91" s="46">
        <v>50</v>
      </c>
      <c r="O91" s="46">
        <f>SUM(テーブル1[[#This Row],[列11]:[列12]])</f>
        <v>70</v>
      </c>
      <c r="P91" s="46"/>
      <c r="Q91" s="46"/>
      <c r="R91" s="46">
        <f t="shared" si="9"/>
        <v>160</v>
      </c>
      <c r="S91" s="25">
        <f t="shared" si="10"/>
        <v>400021</v>
      </c>
      <c r="T91" s="25">
        <f>COUNTIF($V$4:V91,V91)</f>
        <v>4</v>
      </c>
      <c r="U91" s="25" t="str">
        <f>IF(T91=1,COUNTIF($T$4:T91,1),"")</f>
        <v/>
      </c>
      <c r="V91" s="26" t="str">
        <f>'施設状況(要更新)'!$E91&amp;'施設状況(要更新)'!$C91</f>
        <v>白石区01保育所</v>
      </c>
      <c r="W91" s="26" t="str">
        <f>'施設状況(要更新)'!$F91</f>
        <v>大谷地たかだ保育園</v>
      </c>
      <c r="X91" s="27"/>
      <c r="Y91" s="26"/>
      <c r="Z91" s="26"/>
      <c r="AA91" s="26"/>
    </row>
    <row r="92" spans="1:33">
      <c r="A92" s="45">
        <v>400022</v>
      </c>
      <c r="B92" s="46" t="s">
        <v>277</v>
      </c>
      <c r="C92" s="46" t="s">
        <v>626</v>
      </c>
      <c r="D92" s="46" t="s">
        <v>1027</v>
      </c>
      <c r="E92" s="46" t="s">
        <v>334</v>
      </c>
      <c r="F92" s="46" t="s">
        <v>339</v>
      </c>
      <c r="G92" s="46"/>
      <c r="H92" s="46"/>
      <c r="I92" s="46"/>
      <c r="J92" s="46">
        <v>120</v>
      </c>
      <c r="K92" s="46">
        <v>0</v>
      </c>
      <c r="L92" s="46">
        <v>66</v>
      </c>
      <c r="M92" s="46">
        <v>12</v>
      </c>
      <c r="N92" s="46">
        <v>42</v>
      </c>
      <c r="O92" s="46">
        <f>SUM(テーブル1[[#This Row],[列11]:[列12]])</f>
        <v>54</v>
      </c>
      <c r="P92" s="46"/>
      <c r="Q92" s="46"/>
      <c r="R92" s="46">
        <f t="shared" si="9"/>
        <v>120</v>
      </c>
      <c r="S92" s="25">
        <f t="shared" si="10"/>
        <v>400022</v>
      </c>
      <c r="T92" s="25">
        <f>COUNTIF($V$4:V92,V92)</f>
        <v>5</v>
      </c>
      <c r="U92" s="25" t="str">
        <f>IF(T92=1,COUNTIF($T$4:T92,1),"")</f>
        <v/>
      </c>
      <c r="V92" s="26" t="str">
        <f>'施設状況(要更新)'!$E92&amp;'施設状況(要更新)'!$C92</f>
        <v>白石区01保育所</v>
      </c>
      <c r="W92" s="26" t="str">
        <f>'施設状況(要更新)'!$F92</f>
        <v>南郷保育園</v>
      </c>
      <c r="X92" s="27"/>
      <c r="Y92" s="26"/>
      <c r="Z92" s="26"/>
      <c r="AA92" s="26"/>
    </row>
    <row r="93" spans="1:33">
      <c r="A93" s="45">
        <v>400023</v>
      </c>
      <c r="B93" s="46" t="s">
        <v>277</v>
      </c>
      <c r="C93" s="46" t="s">
        <v>626</v>
      </c>
      <c r="D93" s="46" t="s">
        <v>1027</v>
      </c>
      <c r="E93" s="46" t="s">
        <v>334</v>
      </c>
      <c r="F93" s="46" t="s">
        <v>340</v>
      </c>
      <c r="G93" s="46"/>
      <c r="H93" s="46"/>
      <c r="I93" s="46"/>
      <c r="J93" s="46">
        <v>80</v>
      </c>
      <c r="K93" s="46">
        <v>0</v>
      </c>
      <c r="L93" s="46">
        <v>42</v>
      </c>
      <c r="M93" s="46">
        <v>12</v>
      </c>
      <c r="N93" s="46">
        <v>26</v>
      </c>
      <c r="O93" s="46">
        <f>SUM(テーブル1[[#This Row],[列11]:[列12]])</f>
        <v>38</v>
      </c>
      <c r="P93" s="46"/>
      <c r="Q93" s="46"/>
      <c r="R93" s="46">
        <f t="shared" si="9"/>
        <v>80</v>
      </c>
      <c r="S93" s="25">
        <f t="shared" si="10"/>
        <v>400023</v>
      </c>
      <c r="T93" s="25">
        <f>COUNTIF($V$4:V93,V93)</f>
        <v>6</v>
      </c>
      <c r="U93" s="25" t="str">
        <f>IF(T93=1,COUNTIF($T$4:T93,1),"")</f>
        <v/>
      </c>
      <c r="V93" s="26" t="str">
        <f>'施設状況(要更新)'!$E93&amp;'施設状況(要更新)'!$C93</f>
        <v>白石区01保育所</v>
      </c>
      <c r="W93" s="26" t="str">
        <f>'施設状況(要更新)'!$F93</f>
        <v>東白石雪ん子保育園</v>
      </c>
      <c r="X93" s="27"/>
      <c r="Y93" s="26"/>
      <c r="Z93" s="26"/>
      <c r="AA93" s="26"/>
    </row>
    <row r="94" spans="1:33">
      <c r="A94" s="45">
        <v>400030</v>
      </c>
      <c r="B94" s="46" t="s">
        <v>277</v>
      </c>
      <c r="C94" s="46" t="s">
        <v>626</v>
      </c>
      <c r="D94" s="46" t="s">
        <v>1027</v>
      </c>
      <c r="E94" s="46" t="s">
        <v>334</v>
      </c>
      <c r="F94" s="46" t="s">
        <v>341</v>
      </c>
      <c r="G94" s="46"/>
      <c r="H94" s="46"/>
      <c r="I94" s="46"/>
      <c r="J94" s="46">
        <v>60</v>
      </c>
      <c r="K94" s="46">
        <v>0</v>
      </c>
      <c r="L94" s="46">
        <v>33</v>
      </c>
      <c r="M94" s="46">
        <v>8</v>
      </c>
      <c r="N94" s="46">
        <v>19</v>
      </c>
      <c r="O94" s="46">
        <f>SUM(テーブル1[[#This Row],[列11]:[列12]])</f>
        <v>27</v>
      </c>
      <c r="P94" s="46"/>
      <c r="Q94" s="46"/>
      <c r="R94" s="46">
        <f t="shared" si="9"/>
        <v>60</v>
      </c>
      <c r="S94" s="25">
        <f t="shared" si="10"/>
        <v>400030</v>
      </c>
      <c r="T94" s="25">
        <f>COUNTIF($V$4:V94,V94)</f>
        <v>7</v>
      </c>
      <c r="U94" s="25" t="str">
        <f>IF(T94=1,COUNTIF($T$4:T94,1),"")</f>
        <v/>
      </c>
      <c r="V94" s="26" t="str">
        <f>'施設状況(要更新)'!$E94&amp;'施設状況(要更新)'!$C94</f>
        <v>白石区01保育所</v>
      </c>
      <c r="W94" s="26" t="str">
        <f>'施設状況(要更新)'!$F94</f>
        <v>こぶし保育園</v>
      </c>
      <c r="X94" s="27"/>
      <c r="Y94" s="26"/>
      <c r="Z94" s="26"/>
      <c r="AA94" s="26"/>
    </row>
    <row r="95" spans="1:33">
      <c r="A95" s="45">
        <v>400050</v>
      </c>
      <c r="B95" s="46" t="s">
        <v>277</v>
      </c>
      <c r="C95" s="46" t="s">
        <v>626</v>
      </c>
      <c r="D95" s="46" t="s">
        <v>1027</v>
      </c>
      <c r="E95" s="46" t="s">
        <v>334</v>
      </c>
      <c r="F95" s="46" t="s">
        <v>342</v>
      </c>
      <c r="G95" s="46"/>
      <c r="H95" s="46"/>
      <c r="I95" s="46"/>
      <c r="J95" s="46">
        <v>90</v>
      </c>
      <c r="K95" s="46">
        <v>0</v>
      </c>
      <c r="L95" s="46">
        <v>48</v>
      </c>
      <c r="M95" s="46">
        <v>10</v>
      </c>
      <c r="N95" s="46">
        <v>32</v>
      </c>
      <c r="O95" s="46">
        <f>SUM(テーブル1[[#This Row],[列11]:[列12]])</f>
        <v>42</v>
      </c>
      <c r="P95" s="46"/>
      <c r="Q95" s="46"/>
      <c r="R95" s="46">
        <f t="shared" si="9"/>
        <v>90</v>
      </c>
      <c r="S95" s="25">
        <f t="shared" si="10"/>
        <v>400050</v>
      </c>
      <c r="T95" s="25">
        <f>COUNTIF($V$4:V95,V95)</f>
        <v>8</v>
      </c>
      <c r="U95" s="25" t="str">
        <f>IF(T95=1,COUNTIF($T$4:T95,1),"")</f>
        <v/>
      </c>
      <c r="V95" s="26" t="str">
        <f>'施設状況(要更新)'!$E95&amp;'施設状況(要更新)'!$C95</f>
        <v>白石区01保育所</v>
      </c>
      <c r="W95" s="26" t="str">
        <f>'施設状況(要更新)'!$F95</f>
        <v>北郷こぶし保育園</v>
      </c>
      <c r="X95" s="27"/>
      <c r="Y95" s="26"/>
      <c r="Z95" s="26"/>
      <c r="AA95" s="26"/>
    </row>
    <row r="96" spans="1:33">
      <c r="A96" s="45">
        <v>400051</v>
      </c>
      <c r="B96" s="46" t="s">
        <v>277</v>
      </c>
      <c r="C96" s="46" t="s">
        <v>626</v>
      </c>
      <c r="D96" s="46" t="s">
        <v>1027</v>
      </c>
      <c r="E96" s="46" t="s">
        <v>334</v>
      </c>
      <c r="F96" s="46" t="s">
        <v>343</v>
      </c>
      <c r="G96" s="46"/>
      <c r="H96" s="46"/>
      <c r="I96" s="46"/>
      <c r="J96" s="46">
        <v>60</v>
      </c>
      <c r="K96" s="46">
        <v>0</v>
      </c>
      <c r="L96" s="46">
        <v>33</v>
      </c>
      <c r="M96" s="46">
        <v>6</v>
      </c>
      <c r="N96" s="46">
        <v>21</v>
      </c>
      <c r="O96" s="46">
        <f>SUM(テーブル1[[#This Row],[列11]:[列12]])</f>
        <v>27</v>
      </c>
      <c r="P96" s="46"/>
      <c r="Q96" s="46"/>
      <c r="R96" s="46">
        <f t="shared" si="9"/>
        <v>60</v>
      </c>
      <c r="S96" s="25">
        <f t="shared" si="10"/>
        <v>400051</v>
      </c>
      <c r="T96" s="25">
        <f>COUNTIF($V$4:V96,V96)</f>
        <v>9</v>
      </c>
      <c r="U96" s="25" t="str">
        <f>IF(T96=1,COUNTIF($T$4:T96,1),"")</f>
        <v/>
      </c>
      <c r="V96" s="26" t="str">
        <f>'施設状況(要更新)'!$E96&amp;'施設状況(要更新)'!$C96</f>
        <v>白石区01保育所</v>
      </c>
      <c r="W96" s="26" t="str">
        <f>'施設状況(要更新)'!$F96</f>
        <v>アスク白石保育園</v>
      </c>
      <c r="X96" s="27"/>
      <c r="Y96" s="26"/>
      <c r="Z96" s="26"/>
      <c r="AA96" s="26"/>
    </row>
    <row r="97" spans="1:27">
      <c r="A97" s="45">
        <v>400052</v>
      </c>
      <c r="B97" s="46" t="s">
        <v>277</v>
      </c>
      <c r="C97" s="46" t="s">
        <v>626</v>
      </c>
      <c r="D97" s="46" t="s">
        <v>1027</v>
      </c>
      <c r="E97" s="46" t="s">
        <v>334</v>
      </c>
      <c r="F97" s="46" t="s">
        <v>344</v>
      </c>
      <c r="G97" s="46"/>
      <c r="H97" s="46"/>
      <c r="I97" s="46"/>
      <c r="J97" s="46">
        <v>60</v>
      </c>
      <c r="K97" s="46">
        <v>0</v>
      </c>
      <c r="L97" s="46">
        <v>33</v>
      </c>
      <c r="M97" s="46">
        <v>6</v>
      </c>
      <c r="N97" s="46">
        <v>21</v>
      </c>
      <c r="O97" s="46">
        <f>SUM(テーブル1[[#This Row],[列11]:[列12]])</f>
        <v>27</v>
      </c>
      <c r="P97" s="46"/>
      <c r="Q97" s="46"/>
      <c r="R97" s="46">
        <f t="shared" si="9"/>
        <v>60</v>
      </c>
      <c r="S97" s="25">
        <f t="shared" si="10"/>
        <v>400052</v>
      </c>
      <c r="T97" s="25">
        <f>COUNTIF($V$4:V97,V97)</f>
        <v>10</v>
      </c>
      <c r="U97" s="25" t="str">
        <f>IF(T97=1,COUNTIF($T$4:T97,1),"")</f>
        <v/>
      </c>
      <c r="V97" s="26" t="str">
        <f>'施設状況(要更新)'!$E97&amp;'施設状況(要更新)'!$C97</f>
        <v>白石区01保育所</v>
      </c>
      <c r="W97" s="26" t="str">
        <f>'施設状況(要更新)'!$F97</f>
        <v>ポピンズナーサリースクール札幌白石</v>
      </c>
      <c r="X97" s="27"/>
      <c r="Y97" s="26"/>
      <c r="Z97" s="26"/>
      <c r="AA97" s="26"/>
    </row>
    <row r="98" spans="1:27">
      <c r="A98" s="45">
        <v>400053</v>
      </c>
      <c r="B98" s="46" t="s">
        <v>277</v>
      </c>
      <c r="C98" s="46" t="s">
        <v>626</v>
      </c>
      <c r="D98" s="46" t="s">
        <v>1027</v>
      </c>
      <c r="E98" s="46" t="s">
        <v>334</v>
      </c>
      <c r="F98" s="46" t="s">
        <v>345</v>
      </c>
      <c r="G98" s="46"/>
      <c r="H98" s="46"/>
      <c r="I98" s="46"/>
      <c r="J98" s="46">
        <v>60</v>
      </c>
      <c r="K98" s="46">
        <v>0</v>
      </c>
      <c r="L98" s="46">
        <v>0</v>
      </c>
      <c r="M98" s="46">
        <v>12</v>
      </c>
      <c r="N98" s="46">
        <v>48</v>
      </c>
      <c r="O98" s="46">
        <f>SUM(テーブル1[[#This Row],[列11]:[列12]])</f>
        <v>60</v>
      </c>
      <c r="P98" s="46"/>
      <c r="Q98" s="46"/>
      <c r="R98" s="46">
        <f t="shared" si="9"/>
        <v>60</v>
      </c>
      <c r="S98" s="25">
        <f t="shared" si="10"/>
        <v>400053</v>
      </c>
      <c r="T98" s="25">
        <f>COUNTIF($V$4:V98,V98)</f>
        <v>11</v>
      </c>
      <c r="U98" s="25" t="str">
        <f>IF(T98=1,COUNTIF($T$4:T98,1),"")</f>
        <v/>
      </c>
      <c r="V98" s="26" t="str">
        <f>'施設状況(要更新)'!$E98&amp;'施設状況(要更新)'!$C98</f>
        <v>白石区01保育所</v>
      </c>
      <c r="W98" s="26" t="str">
        <f>'施設状況(要更新)'!$F98</f>
        <v>大藤子ども園</v>
      </c>
      <c r="X98" s="27"/>
      <c r="Y98" s="26"/>
      <c r="Z98" s="26"/>
      <c r="AA98" s="26"/>
    </row>
    <row r="99" spans="1:27">
      <c r="A99" s="45">
        <v>400054</v>
      </c>
      <c r="B99" s="46" t="s">
        <v>277</v>
      </c>
      <c r="C99" s="46" t="s">
        <v>626</v>
      </c>
      <c r="D99" s="46" t="s">
        <v>1027</v>
      </c>
      <c r="E99" s="46" t="s">
        <v>334</v>
      </c>
      <c r="F99" s="46" t="s">
        <v>346</v>
      </c>
      <c r="G99" s="46"/>
      <c r="H99" s="46"/>
      <c r="I99" s="46"/>
      <c r="J99" s="46">
        <v>40</v>
      </c>
      <c r="K99" s="46">
        <v>0</v>
      </c>
      <c r="L99" s="46">
        <v>21</v>
      </c>
      <c r="M99" s="46">
        <v>5</v>
      </c>
      <c r="N99" s="46">
        <v>14</v>
      </c>
      <c r="O99" s="46">
        <f>SUM(テーブル1[[#This Row],[列11]:[列12]])</f>
        <v>19</v>
      </c>
      <c r="P99" s="46"/>
      <c r="Q99" s="46"/>
      <c r="R99" s="46">
        <f t="shared" si="9"/>
        <v>40</v>
      </c>
      <c r="S99" s="25">
        <f t="shared" si="10"/>
        <v>400054</v>
      </c>
      <c r="T99" s="25">
        <f>COUNTIF($V$4:V99,V99)</f>
        <v>12</v>
      </c>
      <c r="U99" s="25" t="str">
        <f>IF(T99=1,COUNTIF($T$4:T99,1),"")</f>
        <v/>
      </c>
      <c r="V99" s="26" t="str">
        <f>'施設状況(要更新)'!$E99&amp;'施設状況(要更新)'!$C99</f>
        <v>白石区01保育所</v>
      </c>
      <c r="W99" s="26" t="str">
        <f>'施設状況(要更新)'!$F99</f>
        <v>ピッコロ子ども倶楽部東札幌園</v>
      </c>
      <c r="X99" s="27"/>
      <c r="Y99" s="26"/>
      <c r="Z99" s="26"/>
      <c r="AA99" s="26"/>
    </row>
    <row r="100" spans="1:27">
      <c r="A100" s="45">
        <v>400063</v>
      </c>
      <c r="B100" s="46" t="s">
        <v>277</v>
      </c>
      <c r="C100" s="46" t="s">
        <v>626</v>
      </c>
      <c r="D100" s="46" t="s">
        <v>1027</v>
      </c>
      <c r="E100" s="46" t="s">
        <v>334</v>
      </c>
      <c r="F100" s="46" t="s">
        <v>347</v>
      </c>
      <c r="G100" s="46"/>
      <c r="H100" s="46"/>
      <c r="I100" s="46"/>
      <c r="J100" s="46">
        <v>60</v>
      </c>
      <c r="K100" s="46">
        <v>0</v>
      </c>
      <c r="L100" s="46">
        <v>33</v>
      </c>
      <c r="M100" s="46">
        <v>6</v>
      </c>
      <c r="N100" s="46">
        <v>21</v>
      </c>
      <c r="O100" s="46">
        <f>SUM(テーブル1[[#This Row],[列11]:[列12]])</f>
        <v>27</v>
      </c>
      <c r="P100" s="46"/>
      <c r="Q100" s="46"/>
      <c r="R100" s="46">
        <f t="shared" si="9"/>
        <v>60</v>
      </c>
      <c r="S100" s="25">
        <f t="shared" si="10"/>
        <v>400063</v>
      </c>
      <c r="T100" s="25">
        <f>COUNTIF($V$4:V100,V100)</f>
        <v>13</v>
      </c>
      <c r="U100" s="25" t="str">
        <f>IF(T100=1,COUNTIF($T$4:T100,1),"")</f>
        <v/>
      </c>
      <c r="V100" s="26" t="str">
        <f>'施設状況(要更新)'!$E100&amp;'施設状況(要更新)'!$C100</f>
        <v>白石区01保育所</v>
      </c>
      <c r="W100" s="26" t="str">
        <f>'施設状況(要更新)'!$F100</f>
        <v>太陽の子札幌白石保育園</v>
      </c>
      <c r="X100" s="27"/>
      <c r="Y100" s="26"/>
      <c r="Z100" s="26"/>
      <c r="AA100" s="26"/>
    </row>
    <row r="101" spans="1:27">
      <c r="A101" s="45">
        <v>400064</v>
      </c>
      <c r="B101" s="46" t="s">
        <v>277</v>
      </c>
      <c r="C101" s="46" t="s">
        <v>626</v>
      </c>
      <c r="D101" s="46" t="s">
        <v>1027</v>
      </c>
      <c r="E101" s="46" t="s">
        <v>334</v>
      </c>
      <c r="F101" s="46" t="s">
        <v>348</v>
      </c>
      <c r="G101" s="46"/>
      <c r="H101" s="46"/>
      <c r="I101" s="46"/>
      <c r="J101" s="46">
        <v>20</v>
      </c>
      <c r="K101" s="46">
        <v>0</v>
      </c>
      <c r="L101" s="46">
        <v>11</v>
      </c>
      <c r="M101" s="46">
        <v>3</v>
      </c>
      <c r="N101" s="46">
        <v>6</v>
      </c>
      <c r="O101" s="46">
        <f>SUM(テーブル1[[#This Row],[列11]:[列12]])</f>
        <v>9</v>
      </c>
      <c r="P101" s="46"/>
      <c r="Q101" s="46"/>
      <c r="R101" s="46">
        <f t="shared" si="9"/>
        <v>20</v>
      </c>
      <c r="S101" s="25">
        <f t="shared" si="10"/>
        <v>400064</v>
      </c>
      <c r="T101" s="25">
        <f>COUNTIF($V$4:V101,V101)</f>
        <v>14</v>
      </c>
      <c r="U101" s="25" t="str">
        <f>IF(T101=1,COUNTIF($T$4:T101,1),"")</f>
        <v/>
      </c>
      <c r="V101" s="26" t="str">
        <f>'施設状況(要更新)'!$E101&amp;'施設状況(要更新)'!$C101</f>
        <v>白石区01保育所</v>
      </c>
      <c r="W101" s="26" t="str">
        <f>'施設状況(要更新)'!$F101</f>
        <v>米里保育園</v>
      </c>
      <c r="X101" s="27"/>
      <c r="Y101" s="26"/>
      <c r="Z101" s="26"/>
      <c r="AA101" s="26"/>
    </row>
    <row r="102" spans="1:27">
      <c r="A102" s="45">
        <v>400068</v>
      </c>
      <c r="B102" s="46" t="s">
        <v>277</v>
      </c>
      <c r="C102" s="46" t="s">
        <v>626</v>
      </c>
      <c r="D102" s="46" t="s">
        <v>1027</v>
      </c>
      <c r="E102" s="46" t="s">
        <v>334</v>
      </c>
      <c r="F102" s="46" t="s">
        <v>1051</v>
      </c>
      <c r="G102" s="46"/>
      <c r="H102" s="46"/>
      <c r="I102" s="46"/>
      <c r="J102" s="46">
        <v>50</v>
      </c>
      <c r="K102" s="46">
        <v>0</v>
      </c>
      <c r="L102" s="46">
        <v>27</v>
      </c>
      <c r="M102" s="46">
        <v>5</v>
      </c>
      <c r="N102" s="46">
        <v>18</v>
      </c>
      <c r="O102" s="46">
        <f>SUM(テーブル1[[#This Row],[列11]:[列12]])</f>
        <v>23</v>
      </c>
      <c r="P102" s="46"/>
      <c r="Q102" s="46"/>
      <c r="R102" s="46">
        <f t="shared" si="9"/>
        <v>50</v>
      </c>
      <c r="S102" s="25">
        <f t="shared" si="10"/>
        <v>400068</v>
      </c>
      <c r="T102" s="25">
        <f>COUNTIF($V$4:V102,V102)</f>
        <v>15</v>
      </c>
      <c r="U102" s="25" t="str">
        <f>IF(T102=1,COUNTIF($T$4:T102,1),"")</f>
        <v/>
      </c>
      <c r="V102" s="26" t="str">
        <f>'施設状況(要更新)'!$E102&amp;'施設状況(要更新)'!$C102</f>
        <v>白石区01保育所</v>
      </c>
      <c r="W102" s="26" t="str">
        <f>'施設状況(要更新)'!$F102</f>
        <v>ニチイキッズしろいし保育園</v>
      </c>
      <c r="X102" s="27"/>
      <c r="Y102" s="26"/>
      <c r="Z102" s="26"/>
      <c r="AA102" s="26"/>
    </row>
    <row r="103" spans="1:27">
      <c r="A103" s="45">
        <v>400070</v>
      </c>
      <c r="B103" s="46" t="s">
        <v>277</v>
      </c>
      <c r="C103" s="46" t="s">
        <v>626</v>
      </c>
      <c r="D103" s="46" t="s">
        <v>1027</v>
      </c>
      <c r="E103" s="46" t="s">
        <v>334</v>
      </c>
      <c r="F103" s="46" t="s">
        <v>1052</v>
      </c>
      <c r="G103" s="46"/>
      <c r="H103" s="46"/>
      <c r="I103" s="46"/>
      <c r="J103" s="46">
        <v>40</v>
      </c>
      <c r="K103" s="46">
        <v>0</v>
      </c>
      <c r="L103" s="46">
        <v>22</v>
      </c>
      <c r="M103" s="46">
        <v>4</v>
      </c>
      <c r="N103" s="46">
        <v>14</v>
      </c>
      <c r="O103" s="46">
        <f>SUM(テーブル1[[#This Row],[列11]:[列12]])</f>
        <v>18</v>
      </c>
      <c r="P103" s="46"/>
      <c r="Q103" s="46"/>
      <c r="R103" s="46">
        <f t="shared" si="9"/>
        <v>40</v>
      </c>
      <c r="S103" s="25">
        <f t="shared" si="10"/>
        <v>400070</v>
      </c>
      <c r="T103" s="25">
        <f>COUNTIF($V$4:V103,V103)</f>
        <v>16</v>
      </c>
      <c r="U103" s="25" t="str">
        <f>IF(T103=1,COUNTIF($T$4:T103,1),"")</f>
        <v/>
      </c>
      <c r="V103" s="26" t="str">
        <f>'施設状況(要更新)'!$E103&amp;'施設状況(要更新)'!$C103</f>
        <v>白石区01保育所</v>
      </c>
      <c r="W103" s="26" t="str">
        <f>'施設状況(要更新)'!$F103</f>
        <v>南郷通たかだ保育園</v>
      </c>
      <c r="X103" s="27"/>
      <c r="Y103" s="26"/>
      <c r="Z103" s="26"/>
    </row>
    <row r="104" spans="1:27">
      <c r="A104" s="45">
        <v>400083</v>
      </c>
      <c r="B104" s="46" t="s">
        <v>277</v>
      </c>
      <c r="C104" s="46" t="s">
        <v>626</v>
      </c>
      <c r="D104" s="46" t="s">
        <v>1027</v>
      </c>
      <c r="E104" s="46" t="s">
        <v>334</v>
      </c>
      <c r="F104" s="46" t="s">
        <v>1053</v>
      </c>
      <c r="G104" s="46"/>
      <c r="H104" s="46"/>
      <c r="I104" s="46"/>
      <c r="J104" s="46">
        <v>40</v>
      </c>
      <c r="K104" s="46">
        <v>0</v>
      </c>
      <c r="L104" s="46">
        <v>24</v>
      </c>
      <c r="M104" s="46">
        <v>2</v>
      </c>
      <c r="N104" s="46">
        <v>14</v>
      </c>
      <c r="O104" s="46">
        <f>SUM(テーブル1[[#This Row],[列11]:[列12]])</f>
        <v>16</v>
      </c>
      <c r="P104" s="46"/>
      <c r="Q104" s="46"/>
      <c r="R104" s="46">
        <f t="shared" si="9"/>
        <v>40</v>
      </c>
      <c r="S104" s="25">
        <f t="shared" si="10"/>
        <v>400083</v>
      </c>
      <c r="T104" s="25">
        <f>COUNTIF($V$4:V104,V104)</f>
        <v>17</v>
      </c>
      <c r="U104" s="25" t="str">
        <f>IF(T104=1,COUNTIF($T$4:T104,1),"")</f>
        <v/>
      </c>
      <c r="V104" s="26" t="str">
        <f>'施設状況(要更新)'!$E104&amp;'施設状況(要更新)'!$C104</f>
        <v>白石区01保育所</v>
      </c>
      <c r="W104" s="26" t="str">
        <f>'施設状況(要更新)'!$F104</f>
        <v>にこまるえん白石</v>
      </c>
      <c r="X104" s="27"/>
      <c r="Y104" s="26"/>
      <c r="Z104" s="26"/>
    </row>
    <row r="105" spans="1:27">
      <c r="A105" s="45">
        <v>450001</v>
      </c>
      <c r="B105" s="46" t="s">
        <v>277</v>
      </c>
      <c r="C105" s="46" t="s">
        <v>626</v>
      </c>
      <c r="D105" s="46" t="s">
        <v>1027</v>
      </c>
      <c r="E105" s="46" t="s">
        <v>349</v>
      </c>
      <c r="F105" s="46" t="s">
        <v>350</v>
      </c>
      <c r="G105" s="46"/>
      <c r="H105" s="46"/>
      <c r="I105" s="46"/>
      <c r="J105" s="46">
        <v>60</v>
      </c>
      <c r="K105" s="46">
        <v>0</v>
      </c>
      <c r="L105" s="46">
        <v>33</v>
      </c>
      <c r="M105" s="46">
        <v>8</v>
      </c>
      <c r="N105" s="46">
        <v>19</v>
      </c>
      <c r="O105" s="46">
        <f>SUM(テーブル1[[#This Row],[列11]:[列12]])</f>
        <v>27</v>
      </c>
      <c r="P105" s="46"/>
      <c r="Q105" s="46"/>
      <c r="R105" s="46">
        <f t="shared" si="9"/>
        <v>60</v>
      </c>
      <c r="S105" s="25">
        <f t="shared" si="10"/>
        <v>450001</v>
      </c>
      <c r="T105" s="25">
        <f>COUNTIF($V$4:V105,V105)</f>
        <v>1</v>
      </c>
      <c r="U105" s="25">
        <f>IF(T105=1,COUNTIF($T$4:T105,1),"")</f>
        <v>5</v>
      </c>
      <c r="V105" s="26" t="str">
        <f>'施設状況(要更新)'!$E105&amp;'施設状況(要更新)'!$C105</f>
        <v>厚別区01保育所</v>
      </c>
      <c r="W105" s="26" t="str">
        <f>'施設状況(要更新)'!$F105</f>
        <v>まごころ保育園</v>
      </c>
      <c r="X105" s="27"/>
      <c r="Y105" s="26"/>
      <c r="Z105" s="26"/>
    </row>
    <row r="106" spans="1:27">
      <c r="A106" s="45">
        <v>450002</v>
      </c>
      <c r="B106" s="46" t="s">
        <v>277</v>
      </c>
      <c r="C106" s="46" t="s">
        <v>626</v>
      </c>
      <c r="D106" s="46" t="s">
        <v>1027</v>
      </c>
      <c r="E106" s="46" t="s">
        <v>349</v>
      </c>
      <c r="F106" s="46" t="s">
        <v>351</v>
      </c>
      <c r="G106" s="46"/>
      <c r="H106" s="46"/>
      <c r="I106" s="46"/>
      <c r="J106" s="46">
        <v>150</v>
      </c>
      <c r="K106" s="46">
        <v>0</v>
      </c>
      <c r="L106" s="46">
        <v>88</v>
      </c>
      <c r="M106" s="46">
        <v>13</v>
      </c>
      <c r="N106" s="46">
        <v>49</v>
      </c>
      <c r="O106" s="46">
        <f>SUM(テーブル1[[#This Row],[列11]:[列12]])</f>
        <v>62</v>
      </c>
      <c r="P106" s="46"/>
      <c r="Q106" s="46"/>
      <c r="R106" s="46">
        <f t="shared" si="9"/>
        <v>150</v>
      </c>
      <c r="S106" s="25">
        <f t="shared" si="10"/>
        <v>450002</v>
      </c>
      <c r="T106" s="25">
        <f>COUNTIF($V$4:V106,V106)</f>
        <v>2</v>
      </c>
      <c r="U106" s="25" t="str">
        <f>IF(T106=1,COUNTIF($T$4:T106,1),"")</f>
        <v/>
      </c>
      <c r="V106" s="26" t="str">
        <f>'施設状況(要更新)'!$E106&amp;'施設状況(要更新)'!$C106</f>
        <v>厚別区01保育所</v>
      </c>
      <c r="W106" s="26" t="str">
        <f>'施設状況(要更新)'!$F106</f>
        <v>ひばりが丘保育園</v>
      </c>
      <c r="X106" s="27"/>
      <c r="Y106" s="26"/>
      <c r="Z106" s="26"/>
    </row>
    <row r="107" spans="1:27">
      <c r="A107" s="45">
        <v>450003</v>
      </c>
      <c r="B107" s="46" t="s">
        <v>277</v>
      </c>
      <c r="C107" s="46" t="s">
        <v>626</v>
      </c>
      <c r="D107" s="46" t="s">
        <v>1027</v>
      </c>
      <c r="E107" s="46" t="s">
        <v>349</v>
      </c>
      <c r="F107" s="46" t="s">
        <v>352</v>
      </c>
      <c r="G107" s="46"/>
      <c r="H107" s="46"/>
      <c r="I107" s="46"/>
      <c r="J107" s="46">
        <v>150</v>
      </c>
      <c r="K107" s="46">
        <v>0</v>
      </c>
      <c r="L107" s="46">
        <v>78</v>
      </c>
      <c r="M107" s="46">
        <v>12</v>
      </c>
      <c r="N107" s="46">
        <v>50</v>
      </c>
      <c r="O107" s="46">
        <f>SUM(テーブル1[[#This Row],[列11]:[列12]])</f>
        <v>62</v>
      </c>
      <c r="P107" s="46"/>
      <c r="Q107" s="46"/>
      <c r="R107" s="46">
        <f t="shared" si="9"/>
        <v>140</v>
      </c>
      <c r="S107" s="25">
        <f t="shared" si="10"/>
        <v>450003</v>
      </c>
      <c r="T107" s="25">
        <f>COUNTIF($V$4:V107,V107)</f>
        <v>3</v>
      </c>
      <c r="U107" s="25" t="str">
        <f>IF(T107=1,COUNTIF($T$4:T107,1),"")</f>
        <v/>
      </c>
      <c r="V107" s="26" t="str">
        <f>'施設状況(要更新)'!$E107&amp;'施設状況(要更新)'!$C107</f>
        <v>厚別区01保育所</v>
      </c>
      <c r="W107" s="26" t="str">
        <f>'施設状況(要更新)'!$F107</f>
        <v>青葉興正保育園</v>
      </c>
      <c r="X107" s="27"/>
      <c r="Y107" s="26"/>
      <c r="Z107" s="26"/>
    </row>
    <row r="108" spans="1:27">
      <c r="A108" s="45">
        <v>450004</v>
      </c>
      <c r="B108" s="46" t="s">
        <v>277</v>
      </c>
      <c r="C108" s="46" t="s">
        <v>626</v>
      </c>
      <c r="D108" s="46" t="s">
        <v>1027</v>
      </c>
      <c r="E108" s="46" t="s">
        <v>349</v>
      </c>
      <c r="F108" s="46" t="s">
        <v>353</v>
      </c>
      <c r="G108" s="46"/>
      <c r="H108" s="46"/>
      <c r="I108" s="46"/>
      <c r="J108" s="46">
        <v>150</v>
      </c>
      <c r="K108" s="46">
        <v>0</v>
      </c>
      <c r="L108" s="46">
        <v>60</v>
      </c>
      <c r="M108" s="46">
        <v>12</v>
      </c>
      <c r="N108" s="46">
        <v>38</v>
      </c>
      <c r="O108" s="46">
        <f>SUM(テーブル1[[#This Row],[列11]:[列12]])</f>
        <v>50</v>
      </c>
      <c r="P108" s="46"/>
      <c r="Q108" s="46"/>
      <c r="R108" s="46">
        <f t="shared" si="9"/>
        <v>110</v>
      </c>
      <c r="S108" s="25">
        <f t="shared" si="10"/>
        <v>450004</v>
      </c>
      <c r="T108" s="25">
        <f>COUNTIF($V$4:V108,V108)</f>
        <v>4</v>
      </c>
      <c r="U108" s="25" t="str">
        <f>IF(T108=1,COUNTIF($T$4:T108,1),"")</f>
        <v/>
      </c>
      <c r="V108" s="26" t="str">
        <f>'施設状況(要更新)'!$E108&amp;'施設状況(要更新)'!$C108</f>
        <v>厚別区01保育所</v>
      </c>
      <c r="W108" s="26" t="str">
        <f>'施設状況(要更新)'!$F108</f>
        <v>もみじ台北保育園</v>
      </c>
      <c r="X108" s="27"/>
      <c r="Y108" s="26"/>
      <c r="Z108" s="26"/>
    </row>
    <row r="109" spans="1:27">
      <c r="A109" s="45">
        <v>450005</v>
      </c>
      <c r="B109" s="46" t="s">
        <v>277</v>
      </c>
      <c r="C109" s="46" t="s">
        <v>626</v>
      </c>
      <c r="D109" s="46" t="s">
        <v>1027</v>
      </c>
      <c r="E109" s="46" t="s">
        <v>349</v>
      </c>
      <c r="F109" s="46" t="s">
        <v>354</v>
      </c>
      <c r="G109" s="46"/>
      <c r="H109" s="46"/>
      <c r="I109" s="46"/>
      <c r="J109" s="46">
        <v>120</v>
      </c>
      <c r="K109" s="46">
        <v>0</v>
      </c>
      <c r="L109" s="46">
        <v>71</v>
      </c>
      <c r="M109" s="46">
        <v>9</v>
      </c>
      <c r="N109" s="46">
        <v>40</v>
      </c>
      <c r="O109" s="46">
        <f>SUM(テーブル1[[#This Row],[列11]:[列12]])</f>
        <v>49</v>
      </c>
      <c r="P109" s="46"/>
      <c r="Q109" s="46"/>
      <c r="R109" s="46">
        <f t="shared" si="9"/>
        <v>120</v>
      </c>
      <c r="S109" s="25">
        <f t="shared" si="10"/>
        <v>450005</v>
      </c>
      <c r="T109" s="25">
        <f>COUNTIF($V$4:V109,V109)</f>
        <v>5</v>
      </c>
      <c r="U109" s="25" t="str">
        <f>IF(T109=1,COUNTIF($T$4:T109,1),"")</f>
        <v/>
      </c>
      <c r="V109" s="26" t="str">
        <f>'施設状況(要更新)'!$E109&amp;'施設状況(要更新)'!$C109</f>
        <v>厚別区01保育所</v>
      </c>
      <c r="W109" s="26" t="str">
        <f>'施設状況(要更新)'!$F109</f>
        <v>厚別共栄保育園</v>
      </c>
      <c r="X109" s="27"/>
      <c r="Y109" s="26"/>
      <c r="Z109" s="26"/>
    </row>
    <row r="110" spans="1:27">
      <c r="A110" s="45">
        <v>450007</v>
      </c>
      <c r="B110" s="46" t="s">
        <v>277</v>
      </c>
      <c r="C110" s="46" t="s">
        <v>626</v>
      </c>
      <c r="D110" s="46" t="s">
        <v>1027</v>
      </c>
      <c r="E110" s="46" t="s">
        <v>349</v>
      </c>
      <c r="F110" s="46" t="s">
        <v>355</v>
      </c>
      <c r="G110" s="46"/>
      <c r="H110" s="46"/>
      <c r="I110" s="46"/>
      <c r="J110" s="46">
        <v>70</v>
      </c>
      <c r="K110" s="46">
        <v>0</v>
      </c>
      <c r="L110" s="46">
        <v>36</v>
      </c>
      <c r="M110" s="46">
        <v>6</v>
      </c>
      <c r="N110" s="46">
        <v>18</v>
      </c>
      <c r="O110" s="46">
        <f>SUM(テーブル1[[#This Row],[列11]:[列12]])</f>
        <v>24</v>
      </c>
      <c r="P110" s="46"/>
      <c r="Q110" s="46"/>
      <c r="R110" s="46">
        <f t="shared" si="9"/>
        <v>60</v>
      </c>
      <c r="S110" s="25">
        <f t="shared" si="10"/>
        <v>450007</v>
      </c>
      <c r="T110" s="25">
        <f>COUNTIF($V$4:V110,V110)</f>
        <v>6</v>
      </c>
      <c r="U110" s="25" t="str">
        <f>IF(T110=1,COUNTIF($T$4:T110,1),"")</f>
        <v/>
      </c>
      <c r="V110" s="26" t="str">
        <f>'施設状況(要更新)'!$E110&amp;'施設状況(要更新)'!$C110</f>
        <v>厚別区01保育所</v>
      </c>
      <c r="W110" s="26" t="str">
        <f>'施設状況(要更新)'!$F110</f>
        <v>もみじ台南保育園</v>
      </c>
      <c r="X110" s="27"/>
      <c r="Y110" s="26"/>
      <c r="Z110" s="26"/>
    </row>
    <row r="111" spans="1:27">
      <c r="A111" s="45">
        <v>450008</v>
      </c>
      <c r="B111" s="46" t="s">
        <v>277</v>
      </c>
      <c r="C111" s="46" t="s">
        <v>626</v>
      </c>
      <c r="D111" s="46" t="s">
        <v>1027</v>
      </c>
      <c r="E111" s="46" t="s">
        <v>349</v>
      </c>
      <c r="F111" s="46" t="s">
        <v>356</v>
      </c>
      <c r="G111" s="46"/>
      <c r="H111" s="46"/>
      <c r="I111" s="46"/>
      <c r="J111" s="46">
        <v>130</v>
      </c>
      <c r="K111" s="46">
        <v>0</v>
      </c>
      <c r="L111" s="46">
        <v>60</v>
      </c>
      <c r="M111" s="46">
        <v>10</v>
      </c>
      <c r="N111" s="46">
        <v>40</v>
      </c>
      <c r="O111" s="46">
        <f>SUM(テーブル1[[#This Row],[列11]:[列12]])</f>
        <v>50</v>
      </c>
      <c r="P111" s="46"/>
      <c r="Q111" s="46"/>
      <c r="R111" s="46">
        <f t="shared" si="9"/>
        <v>110</v>
      </c>
      <c r="S111" s="25">
        <f t="shared" si="10"/>
        <v>450008</v>
      </c>
      <c r="T111" s="25">
        <f>COUNTIF($V$4:V111,V111)</f>
        <v>7</v>
      </c>
      <c r="U111" s="25" t="str">
        <f>IF(T111=1,COUNTIF($T$4:T111,1),"")</f>
        <v/>
      </c>
      <c r="V111" s="26" t="str">
        <f>'施設状況(要更新)'!$E111&amp;'施設状況(要更新)'!$C111</f>
        <v>厚別区01保育所</v>
      </c>
      <c r="W111" s="26" t="str">
        <f>'施設状況(要更新)'!$F111</f>
        <v>札幌協働保育園</v>
      </c>
      <c r="X111" s="27"/>
      <c r="Y111" s="26"/>
      <c r="Z111" s="26"/>
    </row>
    <row r="112" spans="1:27">
      <c r="A112" s="45">
        <v>450009</v>
      </c>
      <c r="B112" s="46" t="s">
        <v>277</v>
      </c>
      <c r="C112" s="46" t="s">
        <v>626</v>
      </c>
      <c r="D112" s="46" t="s">
        <v>1027</v>
      </c>
      <c r="E112" s="46" t="s">
        <v>349</v>
      </c>
      <c r="F112" s="46" t="s">
        <v>357</v>
      </c>
      <c r="G112" s="46"/>
      <c r="H112" s="46"/>
      <c r="I112" s="46"/>
      <c r="J112" s="46">
        <v>120</v>
      </c>
      <c r="K112" s="46">
        <v>0</v>
      </c>
      <c r="L112" s="46">
        <v>70</v>
      </c>
      <c r="M112" s="46">
        <v>10</v>
      </c>
      <c r="N112" s="46">
        <v>40</v>
      </c>
      <c r="O112" s="46">
        <f>SUM(テーブル1[[#This Row],[列11]:[列12]])</f>
        <v>50</v>
      </c>
      <c r="P112" s="46"/>
      <c r="Q112" s="46"/>
      <c r="R112" s="46">
        <f t="shared" si="9"/>
        <v>120</v>
      </c>
      <c r="S112" s="25">
        <f t="shared" si="10"/>
        <v>450009</v>
      </c>
      <c r="T112" s="25">
        <f>COUNTIF($V$4:V112,V112)</f>
        <v>8</v>
      </c>
      <c r="U112" s="25" t="str">
        <f>IF(T112=1,COUNTIF($T$4:T112,1),"")</f>
        <v/>
      </c>
      <c r="V112" s="26" t="str">
        <f>'施設状況(要更新)'!$E112&amp;'施設状況(要更新)'!$C112</f>
        <v>厚別区01保育所</v>
      </c>
      <c r="W112" s="26" t="str">
        <f>'施設状況(要更新)'!$F112</f>
        <v>厚別こま草保育園</v>
      </c>
      <c r="X112" s="27"/>
      <c r="Y112" s="26"/>
      <c r="Z112" s="26"/>
    </row>
    <row r="113" spans="1:26">
      <c r="A113" s="45">
        <v>450012</v>
      </c>
      <c r="B113" s="46" t="s">
        <v>277</v>
      </c>
      <c r="C113" s="46" t="s">
        <v>626</v>
      </c>
      <c r="D113" s="46" t="s">
        <v>1027</v>
      </c>
      <c r="E113" s="46" t="s">
        <v>349</v>
      </c>
      <c r="F113" s="46" t="s">
        <v>358</v>
      </c>
      <c r="G113" s="46"/>
      <c r="H113" s="46"/>
      <c r="I113" s="46"/>
      <c r="J113" s="46">
        <v>60</v>
      </c>
      <c r="K113" s="46">
        <v>0</v>
      </c>
      <c r="L113" s="46">
        <v>36</v>
      </c>
      <c r="M113" s="46">
        <v>5</v>
      </c>
      <c r="N113" s="46">
        <v>19</v>
      </c>
      <c r="O113" s="46">
        <f>SUM(テーブル1[[#This Row],[列11]:[列12]])</f>
        <v>24</v>
      </c>
      <c r="P113" s="46"/>
      <c r="Q113" s="46"/>
      <c r="R113" s="46">
        <f t="shared" si="9"/>
        <v>60</v>
      </c>
      <c r="S113" s="25">
        <f t="shared" si="10"/>
        <v>450012</v>
      </c>
      <c r="T113" s="25">
        <f>COUNTIF($V$4:V113,V113)</f>
        <v>9</v>
      </c>
      <c r="U113" s="25" t="str">
        <f>IF(T113=1,COUNTIF($T$4:T113,1),"")</f>
        <v/>
      </c>
      <c r="V113" s="26" t="str">
        <f>'施設状況(要更新)'!$E113&amp;'施設状況(要更新)'!$C113</f>
        <v>厚別区01保育所</v>
      </c>
      <c r="W113" s="26" t="str">
        <f>'施設状況(要更新)'!$F113</f>
        <v>新さっぽろとまと保育園</v>
      </c>
      <c r="X113" s="27"/>
      <c r="Y113" s="26"/>
      <c r="Z113" s="26"/>
    </row>
    <row r="114" spans="1:26">
      <c r="A114" s="45">
        <v>450052</v>
      </c>
      <c r="B114" s="46" t="s">
        <v>277</v>
      </c>
      <c r="C114" s="46" t="s">
        <v>626</v>
      </c>
      <c r="D114" s="46" t="s">
        <v>1027</v>
      </c>
      <c r="E114" s="46" t="s">
        <v>349</v>
      </c>
      <c r="F114" s="46" t="s">
        <v>1054</v>
      </c>
      <c r="G114" s="46"/>
      <c r="H114" s="46"/>
      <c r="I114" s="46"/>
      <c r="J114" s="46">
        <v>40</v>
      </c>
      <c r="K114" s="46">
        <v>0</v>
      </c>
      <c r="L114" s="46">
        <v>24</v>
      </c>
      <c r="M114" s="46">
        <v>2</v>
      </c>
      <c r="N114" s="46">
        <v>14</v>
      </c>
      <c r="O114" s="46">
        <f>SUM(テーブル1[[#This Row],[列11]:[列12]])</f>
        <v>16</v>
      </c>
      <c r="P114" s="46"/>
      <c r="Q114" s="46"/>
      <c r="R114" s="46">
        <f t="shared" si="9"/>
        <v>40</v>
      </c>
      <c r="S114" s="25">
        <f t="shared" si="10"/>
        <v>450052</v>
      </c>
      <c r="T114" s="25">
        <f>COUNTIF($V$4:V114,V114)</f>
        <v>10</v>
      </c>
      <c r="U114" s="25" t="str">
        <f>IF(T114=1,COUNTIF($T$4:T114,1),"")</f>
        <v/>
      </c>
      <c r="V114" s="26" t="str">
        <f>'施設状況(要更新)'!$E114&amp;'施設状況(要更新)'!$C114</f>
        <v>厚別区01保育所</v>
      </c>
      <c r="W114" s="26" t="str">
        <f>'施設状況(要更新)'!$F114</f>
        <v>きっずぱーく厚別保育園</v>
      </c>
      <c r="X114" s="27"/>
      <c r="Y114" s="26"/>
      <c r="Z114" s="26"/>
    </row>
    <row r="115" spans="1:26">
      <c r="A115" s="45">
        <v>500010</v>
      </c>
      <c r="B115" s="46" t="s">
        <v>277</v>
      </c>
      <c r="C115" s="46" t="s">
        <v>626</v>
      </c>
      <c r="D115" s="46" t="s">
        <v>1027</v>
      </c>
      <c r="E115" s="46" t="s">
        <v>359</v>
      </c>
      <c r="F115" s="46" t="s">
        <v>360</v>
      </c>
      <c r="G115" s="46"/>
      <c r="H115" s="46"/>
      <c r="I115" s="46"/>
      <c r="J115" s="46">
        <v>165</v>
      </c>
      <c r="K115" s="46">
        <v>0</v>
      </c>
      <c r="L115" s="46">
        <v>90</v>
      </c>
      <c r="M115" s="46">
        <v>15</v>
      </c>
      <c r="N115" s="46">
        <v>60</v>
      </c>
      <c r="O115" s="46">
        <f>SUM(テーブル1[[#This Row],[列11]:[列12]])</f>
        <v>75</v>
      </c>
      <c r="P115" s="46"/>
      <c r="Q115" s="46"/>
      <c r="R115" s="46">
        <f t="shared" si="9"/>
        <v>165</v>
      </c>
      <c r="S115" s="25">
        <f t="shared" si="10"/>
        <v>500010</v>
      </c>
      <c r="T115" s="25">
        <f>COUNTIF($V$4:V115,V115)</f>
        <v>1</v>
      </c>
      <c r="U115" s="25">
        <f>IF(T115=1,COUNTIF($T$4:T115,1),"")</f>
        <v>6</v>
      </c>
      <c r="V115" s="26" t="str">
        <f>'施設状況(要更新)'!$E115&amp;'施設状況(要更新)'!$C115</f>
        <v>豊平区01保育所</v>
      </c>
      <c r="W115" s="26" t="str">
        <f>'施設状況(要更新)'!$F115</f>
        <v>札幌愛隣舘保育園</v>
      </c>
      <c r="X115" s="27"/>
      <c r="Y115" s="26"/>
      <c r="Z115" s="26"/>
    </row>
    <row r="116" spans="1:26">
      <c r="A116" s="45">
        <v>500011</v>
      </c>
      <c r="B116" s="46" t="s">
        <v>277</v>
      </c>
      <c r="C116" s="46" t="s">
        <v>626</v>
      </c>
      <c r="D116" s="46" t="s">
        <v>1027</v>
      </c>
      <c r="E116" s="46" t="s">
        <v>359</v>
      </c>
      <c r="F116" s="46" t="s">
        <v>361</v>
      </c>
      <c r="G116" s="46"/>
      <c r="H116" s="46"/>
      <c r="I116" s="46"/>
      <c r="J116" s="46">
        <v>90</v>
      </c>
      <c r="K116" s="46">
        <v>0</v>
      </c>
      <c r="L116" s="46">
        <v>48</v>
      </c>
      <c r="M116" s="46">
        <v>13</v>
      </c>
      <c r="N116" s="46">
        <v>29</v>
      </c>
      <c r="O116" s="46">
        <f>SUM(テーブル1[[#This Row],[列11]:[列12]])</f>
        <v>42</v>
      </c>
      <c r="P116" s="46"/>
      <c r="Q116" s="46"/>
      <c r="R116" s="46">
        <f t="shared" si="9"/>
        <v>90</v>
      </c>
      <c r="S116" s="25">
        <f t="shared" si="10"/>
        <v>500011</v>
      </c>
      <c r="T116" s="25">
        <f>COUNTIF($V$4:V116,V116)</f>
        <v>2</v>
      </c>
      <c r="U116" s="25" t="str">
        <f>IF(T116=1,COUNTIF($T$4:T116,1),"")</f>
        <v/>
      </c>
      <c r="V116" s="26" t="str">
        <f>'施設状況(要更新)'!$E116&amp;'施設状況(要更新)'!$C116</f>
        <v>豊平区01保育所</v>
      </c>
      <c r="W116" s="26" t="str">
        <f>'施設状況(要更新)'!$F116</f>
        <v>札幌第１福ちゃん保育園</v>
      </c>
      <c r="X116" s="27"/>
      <c r="Y116" s="26"/>
      <c r="Z116" s="26"/>
    </row>
    <row r="117" spans="1:26">
      <c r="A117" s="45">
        <v>500014</v>
      </c>
      <c r="B117" s="46" t="s">
        <v>277</v>
      </c>
      <c r="C117" s="46" t="s">
        <v>626</v>
      </c>
      <c r="D117" s="46" t="s">
        <v>1027</v>
      </c>
      <c r="E117" s="46" t="s">
        <v>359</v>
      </c>
      <c r="F117" s="46" t="s">
        <v>362</v>
      </c>
      <c r="G117" s="46"/>
      <c r="H117" s="46"/>
      <c r="I117" s="46"/>
      <c r="J117" s="46">
        <v>100</v>
      </c>
      <c r="K117" s="46">
        <v>0</v>
      </c>
      <c r="L117" s="46">
        <v>51</v>
      </c>
      <c r="M117" s="46">
        <v>16</v>
      </c>
      <c r="N117" s="46">
        <v>33</v>
      </c>
      <c r="O117" s="46">
        <f>SUM(テーブル1[[#This Row],[列11]:[列12]])</f>
        <v>49</v>
      </c>
      <c r="P117" s="46"/>
      <c r="Q117" s="46"/>
      <c r="R117" s="46">
        <f t="shared" si="9"/>
        <v>100</v>
      </c>
      <c r="S117" s="25">
        <f t="shared" si="10"/>
        <v>500014</v>
      </c>
      <c r="T117" s="25">
        <f>COUNTIF($V$4:V117,V117)</f>
        <v>3</v>
      </c>
      <c r="U117" s="25" t="str">
        <f>IF(T117=1,COUNTIF($T$4:T117,1),"")</f>
        <v/>
      </c>
      <c r="V117" s="26" t="str">
        <f>'施設状況(要更新)'!$E117&amp;'施設状況(要更新)'!$C117</f>
        <v>豊平区01保育所</v>
      </c>
      <c r="W117" s="26" t="str">
        <f>'施設状況(要更新)'!$F117</f>
        <v>西岡保育園</v>
      </c>
      <c r="X117" s="27"/>
      <c r="Y117" s="26"/>
      <c r="Z117" s="26"/>
    </row>
    <row r="118" spans="1:26">
      <c r="A118" s="45">
        <v>500015</v>
      </c>
      <c r="B118" s="46" t="s">
        <v>277</v>
      </c>
      <c r="C118" s="46" t="s">
        <v>626</v>
      </c>
      <c r="D118" s="46" t="s">
        <v>1027</v>
      </c>
      <c r="E118" s="46" t="s">
        <v>359</v>
      </c>
      <c r="F118" s="46" t="s">
        <v>363</v>
      </c>
      <c r="G118" s="46"/>
      <c r="H118" s="46"/>
      <c r="I118" s="46"/>
      <c r="J118" s="46">
        <v>150</v>
      </c>
      <c r="K118" s="46">
        <v>0</v>
      </c>
      <c r="L118" s="46">
        <v>90</v>
      </c>
      <c r="M118" s="46">
        <v>10</v>
      </c>
      <c r="N118" s="46">
        <v>50</v>
      </c>
      <c r="O118" s="46">
        <f>SUM(テーブル1[[#This Row],[列11]:[列12]])</f>
        <v>60</v>
      </c>
      <c r="P118" s="46"/>
      <c r="Q118" s="46"/>
      <c r="R118" s="46">
        <f t="shared" si="9"/>
        <v>150</v>
      </c>
      <c r="S118" s="25">
        <f t="shared" si="10"/>
        <v>500015</v>
      </c>
      <c r="T118" s="25">
        <f>COUNTIF($V$4:V118,V118)</f>
        <v>4</v>
      </c>
      <c r="U118" s="25" t="str">
        <f>IF(T118=1,COUNTIF($T$4:T118,1),"")</f>
        <v/>
      </c>
      <c r="V118" s="26" t="str">
        <f>'施設状況(要更新)'!$E118&amp;'施設状況(要更新)'!$C118</f>
        <v>豊平区01保育所</v>
      </c>
      <c r="W118" s="26" t="str">
        <f>'施設状況(要更新)'!$F118</f>
        <v>札幌愛隣舘東山保育園</v>
      </c>
      <c r="X118" s="27"/>
      <c r="Y118" s="26"/>
      <c r="Z118" s="26"/>
    </row>
    <row r="119" spans="1:26">
      <c r="A119" s="45">
        <v>500017</v>
      </c>
      <c r="B119" s="46" t="s">
        <v>277</v>
      </c>
      <c r="C119" s="46" t="s">
        <v>626</v>
      </c>
      <c r="D119" s="46" t="s">
        <v>1027</v>
      </c>
      <c r="E119" s="46" t="s">
        <v>359</v>
      </c>
      <c r="F119" s="46" t="s">
        <v>364</v>
      </c>
      <c r="G119" s="46"/>
      <c r="H119" s="46"/>
      <c r="I119" s="46"/>
      <c r="J119" s="46">
        <v>130</v>
      </c>
      <c r="K119" s="46">
        <v>0</v>
      </c>
      <c r="L119" s="46">
        <v>78</v>
      </c>
      <c r="M119" s="46">
        <v>7</v>
      </c>
      <c r="N119" s="46">
        <v>45</v>
      </c>
      <c r="O119" s="46">
        <f>SUM(テーブル1[[#This Row],[列11]:[列12]])</f>
        <v>52</v>
      </c>
      <c r="P119" s="46"/>
      <c r="Q119" s="46"/>
      <c r="R119" s="46">
        <f t="shared" si="9"/>
        <v>130</v>
      </c>
      <c r="S119" s="25">
        <f t="shared" si="10"/>
        <v>500017</v>
      </c>
      <c r="T119" s="25">
        <f>COUNTIF($V$4:V119,V119)</f>
        <v>5</v>
      </c>
      <c r="U119" s="25" t="str">
        <f>IF(T119=1,COUNTIF($T$4:T119,1),"")</f>
        <v/>
      </c>
      <c r="V119" s="26" t="str">
        <f>'施設状況(要更新)'!$E119&amp;'施設状況(要更新)'!$C119</f>
        <v>豊平区01保育所</v>
      </c>
      <c r="W119" s="26" t="str">
        <f>'施設状況(要更新)'!$F119</f>
        <v>札幌愛隣舘りんご保育園</v>
      </c>
      <c r="X119" s="27"/>
      <c r="Y119" s="26"/>
      <c r="Z119" s="26"/>
    </row>
    <row r="120" spans="1:26">
      <c r="A120" s="45">
        <v>500019</v>
      </c>
      <c r="B120" s="46" t="s">
        <v>277</v>
      </c>
      <c r="C120" s="46" t="s">
        <v>626</v>
      </c>
      <c r="D120" s="46" t="s">
        <v>1027</v>
      </c>
      <c r="E120" s="46" t="s">
        <v>359</v>
      </c>
      <c r="F120" s="46" t="s">
        <v>365</v>
      </c>
      <c r="G120" s="46"/>
      <c r="H120" s="46"/>
      <c r="I120" s="46"/>
      <c r="J120" s="46">
        <v>60</v>
      </c>
      <c r="K120" s="46">
        <v>0</v>
      </c>
      <c r="L120" s="46">
        <v>30</v>
      </c>
      <c r="M120" s="46">
        <v>10</v>
      </c>
      <c r="N120" s="46">
        <v>20</v>
      </c>
      <c r="O120" s="46">
        <f>SUM(テーブル1[[#This Row],[列11]:[列12]])</f>
        <v>30</v>
      </c>
      <c r="P120" s="46"/>
      <c r="Q120" s="46"/>
      <c r="R120" s="46">
        <f t="shared" si="9"/>
        <v>60</v>
      </c>
      <c r="S120" s="25">
        <f t="shared" si="10"/>
        <v>500019</v>
      </c>
      <c r="T120" s="25">
        <f>COUNTIF($V$4:V120,V120)</f>
        <v>6</v>
      </c>
      <c r="U120" s="25" t="str">
        <f>IF(T120=1,COUNTIF($T$4:T120,1),"")</f>
        <v/>
      </c>
      <c r="V120" s="26" t="str">
        <f>'施設状況(要更新)'!$E120&amp;'施設状況(要更新)'!$C120</f>
        <v>豊平区01保育所</v>
      </c>
      <c r="W120" s="26" t="str">
        <f>'施設状況(要更新)'!$F120</f>
        <v>子どもの家保育園</v>
      </c>
      <c r="X120" s="27"/>
      <c r="Y120" s="26"/>
      <c r="Z120" s="26"/>
    </row>
    <row r="121" spans="1:26">
      <c r="A121" s="45">
        <v>500023</v>
      </c>
      <c r="B121" s="46" t="s">
        <v>277</v>
      </c>
      <c r="C121" s="46" t="s">
        <v>626</v>
      </c>
      <c r="D121" s="46" t="s">
        <v>1027</v>
      </c>
      <c r="E121" s="46" t="s">
        <v>359</v>
      </c>
      <c r="F121" s="46" t="s">
        <v>366</v>
      </c>
      <c r="G121" s="46"/>
      <c r="H121" s="46"/>
      <c r="I121" s="46"/>
      <c r="J121" s="46">
        <v>60</v>
      </c>
      <c r="K121" s="46">
        <v>0</v>
      </c>
      <c r="L121" s="46">
        <v>32</v>
      </c>
      <c r="M121" s="46">
        <v>8</v>
      </c>
      <c r="N121" s="46">
        <v>20</v>
      </c>
      <c r="O121" s="46">
        <f>SUM(テーブル1[[#This Row],[列11]:[列12]])</f>
        <v>28</v>
      </c>
      <c r="P121" s="46"/>
      <c r="Q121" s="46"/>
      <c r="R121" s="46">
        <f t="shared" si="9"/>
        <v>60</v>
      </c>
      <c r="S121" s="25">
        <f t="shared" si="10"/>
        <v>500023</v>
      </c>
      <c r="T121" s="25">
        <f>COUNTIF($V$4:V121,V121)</f>
        <v>7</v>
      </c>
      <c r="U121" s="25" t="str">
        <f>IF(T121=1,COUNTIF($T$4:T121,1),"")</f>
        <v/>
      </c>
      <c r="V121" s="26" t="str">
        <f>'施設状況(要更新)'!$E121&amp;'施設状況(要更新)'!$C121</f>
        <v>豊平区01保育所</v>
      </c>
      <c r="W121" s="26" t="str">
        <f>'施設状況(要更新)'!$F121</f>
        <v>中の島興正保育園</v>
      </c>
      <c r="X121" s="27"/>
      <c r="Y121" s="26"/>
      <c r="Z121" s="26"/>
    </row>
    <row r="122" spans="1:26">
      <c r="A122" s="45">
        <v>500028</v>
      </c>
      <c r="B122" s="46" t="s">
        <v>277</v>
      </c>
      <c r="C122" s="46" t="s">
        <v>626</v>
      </c>
      <c r="D122" s="46" t="s">
        <v>1027</v>
      </c>
      <c r="E122" s="46" t="s">
        <v>359</v>
      </c>
      <c r="F122" s="46" t="s">
        <v>367</v>
      </c>
      <c r="G122" s="46"/>
      <c r="H122" s="46"/>
      <c r="I122" s="46"/>
      <c r="J122" s="46">
        <v>120</v>
      </c>
      <c r="K122" s="46">
        <v>0</v>
      </c>
      <c r="L122" s="46">
        <v>63</v>
      </c>
      <c r="M122" s="46">
        <v>15</v>
      </c>
      <c r="N122" s="46">
        <v>42</v>
      </c>
      <c r="O122" s="46">
        <f>SUM(テーブル1[[#This Row],[列11]:[列12]])</f>
        <v>57</v>
      </c>
      <c r="P122" s="46"/>
      <c r="Q122" s="46"/>
      <c r="R122" s="46">
        <f t="shared" si="9"/>
        <v>120</v>
      </c>
      <c r="S122" s="25">
        <f t="shared" si="10"/>
        <v>500028</v>
      </c>
      <c r="T122" s="25">
        <f>COUNTIF($V$4:V122,V122)</f>
        <v>8</v>
      </c>
      <c r="U122" s="25" t="str">
        <f>IF(T122=1,COUNTIF($T$4:T122,1),"")</f>
        <v/>
      </c>
      <c r="V122" s="26" t="str">
        <f>'施設状況(要更新)'!$E122&amp;'施設状況(要更新)'!$C122</f>
        <v>豊平区01保育所</v>
      </c>
      <c r="W122" s="26" t="str">
        <f>'施設状況(要更新)'!$F122</f>
        <v>吉田学園やしの木保育園</v>
      </c>
      <c r="X122" s="27"/>
      <c r="Y122" s="26"/>
      <c r="Z122" s="26"/>
    </row>
    <row r="123" spans="1:26">
      <c r="A123" s="45">
        <v>500043</v>
      </c>
      <c r="B123" s="46" t="s">
        <v>277</v>
      </c>
      <c r="C123" s="46" t="s">
        <v>626</v>
      </c>
      <c r="D123" s="46" t="s">
        <v>1027</v>
      </c>
      <c r="E123" s="46" t="s">
        <v>359</v>
      </c>
      <c r="F123" s="46" t="s">
        <v>368</v>
      </c>
      <c r="G123" s="46"/>
      <c r="H123" s="46"/>
      <c r="I123" s="46"/>
      <c r="J123" s="46">
        <v>40</v>
      </c>
      <c r="K123" s="46">
        <v>0</v>
      </c>
      <c r="L123" s="46">
        <v>21</v>
      </c>
      <c r="M123" s="46">
        <v>5</v>
      </c>
      <c r="N123" s="46">
        <v>14</v>
      </c>
      <c r="O123" s="46">
        <f>SUM(テーブル1[[#This Row],[列11]:[列12]])</f>
        <v>19</v>
      </c>
      <c r="P123" s="46"/>
      <c r="Q123" s="46"/>
      <c r="R123" s="46">
        <f t="shared" si="9"/>
        <v>40</v>
      </c>
      <c r="S123" s="25">
        <f t="shared" si="10"/>
        <v>500043</v>
      </c>
      <c r="T123" s="25">
        <f>COUNTIF($V$4:V123,V123)</f>
        <v>9</v>
      </c>
      <c r="U123" s="25" t="str">
        <f>IF(T123=1,COUNTIF($T$4:T123,1),"")</f>
        <v/>
      </c>
      <c r="V123" s="26" t="str">
        <f>'施設状況(要更新)'!$E123&amp;'施設状況(要更新)'!$C123</f>
        <v>豊平区01保育所</v>
      </c>
      <c r="W123" s="26" t="str">
        <f>'施設状況(要更新)'!$F123</f>
        <v>ピッコロ子ども倶楽部月寒園</v>
      </c>
      <c r="X123" s="27"/>
      <c r="Y123" s="26"/>
      <c r="Z123" s="26"/>
    </row>
    <row r="124" spans="1:26">
      <c r="A124" s="45">
        <v>500054</v>
      </c>
      <c r="B124" s="46" t="s">
        <v>277</v>
      </c>
      <c r="C124" s="46" t="s">
        <v>626</v>
      </c>
      <c r="D124" s="46" t="s">
        <v>1027</v>
      </c>
      <c r="E124" s="46" t="s">
        <v>359</v>
      </c>
      <c r="F124" s="46" t="s">
        <v>369</v>
      </c>
      <c r="G124" s="46"/>
      <c r="H124" s="46"/>
      <c r="I124" s="46"/>
      <c r="J124" s="46">
        <v>40</v>
      </c>
      <c r="K124" s="46">
        <v>0</v>
      </c>
      <c r="L124" s="46">
        <v>22</v>
      </c>
      <c r="M124" s="46">
        <v>4</v>
      </c>
      <c r="N124" s="46">
        <v>14</v>
      </c>
      <c r="O124" s="46">
        <f>SUM(テーブル1[[#This Row],[列11]:[列12]])</f>
        <v>18</v>
      </c>
      <c r="P124" s="46"/>
      <c r="Q124" s="46"/>
      <c r="R124" s="46">
        <f t="shared" si="9"/>
        <v>40</v>
      </c>
      <c r="S124" s="25">
        <f t="shared" si="10"/>
        <v>500054</v>
      </c>
      <c r="T124" s="25">
        <f>COUNTIF($V$4:V124,V124)</f>
        <v>10</v>
      </c>
      <c r="U124" s="25" t="str">
        <f>IF(T124=1,COUNTIF($T$4:T124,1),"")</f>
        <v/>
      </c>
      <c r="V124" s="26" t="str">
        <f>'施設状況(要更新)'!$E124&amp;'施設状況(要更新)'!$C124</f>
        <v>豊平区01保育所</v>
      </c>
      <c r="W124" s="26" t="str">
        <f>'施設状況(要更新)'!$F124</f>
        <v>ピッコロ子ども倶楽部福住園</v>
      </c>
      <c r="X124" s="27"/>
      <c r="Y124" s="26"/>
      <c r="Z124" s="26"/>
    </row>
    <row r="125" spans="1:26">
      <c r="A125" s="45">
        <v>500055</v>
      </c>
      <c r="B125" s="46" t="s">
        <v>277</v>
      </c>
      <c r="C125" s="46" t="s">
        <v>626</v>
      </c>
      <c r="D125" s="46" t="s">
        <v>1027</v>
      </c>
      <c r="E125" s="46" t="s">
        <v>359</v>
      </c>
      <c r="F125" s="46" t="s">
        <v>370</v>
      </c>
      <c r="G125" s="46"/>
      <c r="H125" s="46"/>
      <c r="I125" s="46"/>
      <c r="J125" s="46">
        <v>60</v>
      </c>
      <c r="K125" s="46">
        <v>0</v>
      </c>
      <c r="L125" s="46">
        <v>33</v>
      </c>
      <c r="M125" s="46">
        <v>6</v>
      </c>
      <c r="N125" s="46">
        <v>21</v>
      </c>
      <c r="O125" s="46">
        <f>SUM(テーブル1[[#This Row],[列11]:[列12]])</f>
        <v>27</v>
      </c>
      <c r="P125" s="46"/>
      <c r="Q125" s="46"/>
      <c r="R125" s="46">
        <f t="shared" si="9"/>
        <v>60</v>
      </c>
      <c r="S125" s="25">
        <f t="shared" si="10"/>
        <v>500055</v>
      </c>
      <c r="T125" s="25">
        <f>COUNTIF($V$4:V125,V125)</f>
        <v>11</v>
      </c>
      <c r="U125" s="25" t="str">
        <f>IF(T125=1,COUNTIF($T$4:T125,1),"")</f>
        <v/>
      </c>
      <c r="V125" s="26" t="str">
        <f>'施設状況(要更新)'!$E125&amp;'施設状況(要更新)'!$C125</f>
        <v>豊平区01保育所</v>
      </c>
      <c r="W125" s="26" t="str">
        <f>'施設状況(要更新)'!$F125</f>
        <v>乳幼児保育クラブぞうさん</v>
      </c>
      <c r="X125" s="27"/>
      <c r="Y125" s="26"/>
      <c r="Z125" s="26"/>
    </row>
    <row r="126" spans="1:26">
      <c r="A126" s="45">
        <v>500058</v>
      </c>
      <c r="B126" s="46" t="s">
        <v>277</v>
      </c>
      <c r="C126" s="46" t="s">
        <v>626</v>
      </c>
      <c r="D126" s="46" t="s">
        <v>1027</v>
      </c>
      <c r="E126" s="46" t="s">
        <v>359</v>
      </c>
      <c r="F126" s="46" t="s">
        <v>1055</v>
      </c>
      <c r="G126" s="46"/>
      <c r="H126" s="46"/>
      <c r="I126" s="46"/>
      <c r="J126" s="46">
        <v>40</v>
      </c>
      <c r="K126" s="46">
        <v>0</v>
      </c>
      <c r="L126" s="46">
        <v>22</v>
      </c>
      <c r="M126" s="46">
        <v>4</v>
      </c>
      <c r="N126" s="46">
        <v>14</v>
      </c>
      <c r="O126" s="46">
        <f>SUM(テーブル1[[#This Row],[列11]:[列12]])</f>
        <v>18</v>
      </c>
      <c r="P126" s="46"/>
      <c r="Q126" s="46"/>
      <c r="R126" s="46">
        <f t="shared" si="9"/>
        <v>40</v>
      </c>
      <c r="S126" s="25">
        <f t="shared" si="10"/>
        <v>500058</v>
      </c>
      <c r="T126" s="25">
        <f>COUNTIF($V$4:V126,V126)</f>
        <v>12</v>
      </c>
      <c r="U126" s="25" t="str">
        <f>IF(T126=1,COUNTIF($T$4:T126,1),"")</f>
        <v/>
      </c>
      <c r="V126" s="26" t="str">
        <f>'施設状況(要更新)'!$E126&amp;'施設状況(要更新)'!$C126</f>
        <v>豊平区01保育所</v>
      </c>
      <c r="W126" s="26" t="str">
        <f>'施設状況(要更新)'!$F126</f>
        <v>スクルドエンジェル保育園月寒園</v>
      </c>
      <c r="X126" s="27"/>
      <c r="Y126" s="26"/>
      <c r="Z126" s="26"/>
    </row>
    <row r="127" spans="1:26">
      <c r="A127" s="45">
        <v>500070</v>
      </c>
      <c r="B127" s="46" t="s">
        <v>277</v>
      </c>
      <c r="C127" s="46" t="s">
        <v>626</v>
      </c>
      <c r="D127" s="46" t="s">
        <v>1027</v>
      </c>
      <c r="E127" s="46" t="s">
        <v>242</v>
      </c>
      <c r="F127" s="46" t="s">
        <v>1056</v>
      </c>
      <c r="G127" s="46"/>
      <c r="H127" s="46"/>
      <c r="I127" s="46"/>
      <c r="J127" s="46">
        <v>60</v>
      </c>
      <c r="K127" s="46">
        <v>0</v>
      </c>
      <c r="L127" s="46">
        <v>35</v>
      </c>
      <c r="M127" s="46">
        <v>3</v>
      </c>
      <c r="N127" s="46">
        <v>22</v>
      </c>
      <c r="O127" s="46">
        <f>SUM(テーブル1[[#This Row],[列11]:[列12]])</f>
        <v>25</v>
      </c>
      <c r="P127" s="46"/>
      <c r="Q127" s="46"/>
      <c r="R127" s="46">
        <f t="shared" si="9"/>
        <v>60</v>
      </c>
      <c r="S127" s="25">
        <f t="shared" si="10"/>
        <v>500070</v>
      </c>
      <c r="T127" s="25">
        <f>COUNTIF($V$4:V127,V127)</f>
        <v>13</v>
      </c>
      <c r="U127" s="25" t="str">
        <f>IF(T127=1,COUNTIF($T$4:T127,1),"")</f>
        <v/>
      </c>
      <c r="V127" s="26" t="str">
        <f>'施設状況(要更新)'!$E127&amp;'施設状況(要更新)'!$C127</f>
        <v>豊平区01保育所</v>
      </c>
      <c r="W127" s="26" t="str">
        <f>'施設状況(要更新)'!$F127</f>
        <v>月寒じゅんのめ保育園</v>
      </c>
      <c r="X127" s="27"/>
      <c r="Y127" s="26"/>
      <c r="Z127" s="26"/>
    </row>
    <row r="128" spans="1:26">
      <c r="A128" s="45">
        <v>500085</v>
      </c>
      <c r="B128" s="46" t="s">
        <v>277</v>
      </c>
      <c r="C128" s="46" t="s">
        <v>626</v>
      </c>
      <c r="D128" s="46" t="s">
        <v>1027</v>
      </c>
      <c r="E128" s="46" t="s">
        <v>242</v>
      </c>
      <c r="F128" s="46" t="s">
        <v>1057</v>
      </c>
      <c r="G128" s="46"/>
      <c r="H128" s="46"/>
      <c r="I128" s="46"/>
      <c r="J128" s="46">
        <v>80</v>
      </c>
      <c r="K128" s="46">
        <v>0</v>
      </c>
      <c r="L128" s="46">
        <v>45</v>
      </c>
      <c r="M128" s="46">
        <v>5</v>
      </c>
      <c r="N128" s="46">
        <v>30</v>
      </c>
      <c r="O128" s="46">
        <f>SUM(テーブル1[[#This Row],[列11]:[列12]])</f>
        <v>35</v>
      </c>
      <c r="P128" s="46"/>
      <c r="Q128" s="46"/>
      <c r="R128" s="46">
        <f t="shared" si="9"/>
        <v>80</v>
      </c>
      <c r="S128" s="25">
        <f t="shared" si="10"/>
        <v>500085</v>
      </c>
      <c r="T128" s="25">
        <f>COUNTIF($V$4:V128,V128)</f>
        <v>14</v>
      </c>
      <c r="U128" s="25" t="str">
        <f>IF(T128=1,COUNTIF($T$4:T128,1),"")</f>
        <v/>
      </c>
      <c r="V128" s="26" t="str">
        <f>'施設状況(要更新)'!$E128&amp;'施設状況(要更新)'!$C128</f>
        <v>豊平区01保育所</v>
      </c>
      <c r="W128" s="26" t="str">
        <f>'施設状況(要更新)'!$F128</f>
        <v>きゃんばす平岸保育園</v>
      </c>
      <c r="X128" s="27"/>
      <c r="Y128" s="26"/>
    </row>
    <row r="129" spans="1:33">
      <c r="A129" s="45">
        <v>550003</v>
      </c>
      <c r="B129" s="46" t="s">
        <v>277</v>
      </c>
      <c r="C129" s="46" t="s">
        <v>626</v>
      </c>
      <c r="D129" s="46" t="s">
        <v>1027</v>
      </c>
      <c r="E129" s="46" t="s">
        <v>371</v>
      </c>
      <c r="F129" s="46" t="s">
        <v>372</v>
      </c>
      <c r="G129" s="46"/>
      <c r="H129" s="46"/>
      <c r="I129" s="46"/>
      <c r="J129" s="46">
        <v>120</v>
      </c>
      <c r="K129" s="46">
        <v>0</v>
      </c>
      <c r="L129" s="46">
        <v>60</v>
      </c>
      <c r="M129" s="46">
        <v>7</v>
      </c>
      <c r="N129" s="46">
        <v>33</v>
      </c>
      <c r="O129" s="46">
        <f>SUM(テーブル1[[#This Row],[列11]:[列12]])</f>
        <v>40</v>
      </c>
      <c r="P129" s="46"/>
      <c r="Q129" s="46"/>
      <c r="R129" s="46">
        <f t="shared" si="9"/>
        <v>100</v>
      </c>
      <c r="S129" s="25">
        <f t="shared" si="10"/>
        <v>550003</v>
      </c>
      <c r="T129" s="25">
        <f>COUNTIF($V$4:V129,V129)</f>
        <v>1</v>
      </c>
      <c r="U129" s="25">
        <f>IF(T129=1,COUNTIF($T$4:T129,1),"")</f>
        <v>7</v>
      </c>
      <c r="V129" s="26" t="str">
        <f>'施設状況(要更新)'!$E129&amp;'施設状況(要更新)'!$C129</f>
        <v>清田区01保育所</v>
      </c>
      <c r="W129" s="26" t="str">
        <f>'施設状況(要更新)'!$F129</f>
        <v>札幌北野保育園</v>
      </c>
      <c r="X129" s="27"/>
      <c r="Y129" s="26"/>
    </row>
    <row r="130" spans="1:33">
      <c r="A130" s="45">
        <v>550004</v>
      </c>
      <c r="B130" s="46" t="s">
        <v>277</v>
      </c>
      <c r="C130" s="46" t="s">
        <v>626</v>
      </c>
      <c r="D130" s="46" t="s">
        <v>1027</v>
      </c>
      <c r="E130" s="46" t="s">
        <v>371</v>
      </c>
      <c r="F130" s="46" t="s">
        <v>373</v>
      </c>
      <c r="G130" s="46"/>
      <c r="H130" s="46"/>
      <c r="I130" s="46"/>
      <c r="J130" s="46">
        <v>90</v>
      </c>
      <c r="K130" s="46">
        <v>0</v>
      </c>
      <c r="L130" s="46">
        <v>35</v>
      </c>
      <c r="M130" s="46">
        <v>5</v>
      </c>
      <c r="N130" s="46">
        <v>20</v>
      </c>
      <c r="O130" s="46">
        <f>SUM(テーブル1[[#This Row],[列11]:[列12]])</f>
        <v>25</v>
      </c>
      <c r="P130" s="46"/>
      <c r="Q130" s="46"/>
      <c r="R130" s="46">
        <f t="shared" si="9"/>
        <v>60</v>
      </c>
      <c r="S130" s="25">
        <f t="shared" si="10"/>
        <v>550004</v>
      </c>
      <c r="T130" s="25">
        <f>COUNTIF($V$4:V130,V130)</f>
        <v>2</v>
      </c>
      <c r="U130" s="25" t="str">
        <f>IF(T130=1,COUNTIF($T$4:T130,1),"")</f>
        <v/>
      </c>
      <c r="V130" s="26" t="str">
        <f>'施設状況(要更新)'!$E130&amp;'施設状況(要更新)'!$C130</f>
        <v>清田区01保育所</v>
      </c>
      <c r="W130" s="26" t="str">
        <f>'施設状況(要更新)'!$F130</f>
        <v>札幌南清田保育園</v>
      </c>
      <c r="X130" s="27"/>
      <c r="Y130" s="26"/>
    </row>
    <row r="131" spans="1:33">
      <c r="A131" s="45">
        <v>550005</v>
      </c>
      <c r="B131" s="46" t="s">
        <v>277</v>
      </c>
      <c r="C131" s="46" t="s">
        <v>626</v>
      </c>
      <c r="D131" s="46" t="s">
        <v>1027</v>
      </c>
      <c r="E131" s="46" t="s">
        <v>371</v>
      </c>
      <c r="F131" s="46" t="s">
        <v>374</v>
      </c>
      <c r="G131" s="46"/>
      <c r="H131" s="46"/>
      <c r="I131" s="46"/>
      <c r="J131" s="46">
        <v>60</v>
      </c>
      <c r="K131" s="46">
        <v>0</v>
      </c>
      <c r="L131" s="46">
        <v>36</v>
      </c>
      <c r="M131" s="46">
        <v>6</v>
      </c>
      <c r="N131" s="46">
        <v>18</v>
      </c>
      <c r="O131" s="46">
        <f>SUM(テーブル1[[#This Row],[列11]:[列12]])</f>
        <v>24</v>
      </c>
      <c r="P131" s="46"/>
      <c r="Q131" s="46"/>
      <c r="R131" s="46">
        <f t="shared" si="9"/>
        <v>60</v>
      </c>
      <c r="S131" s="25">
        <f t="shared" si="10"/>
        <v>550005</v>
      </c>
      <c r="T131" s="25">
        <f>COUNTIF($V$4:V131,V131)</f>
        <v>3</v>
      </c>
      <c r="U131" s="25" t="str">
        <f>IF(T131=1,COUNTIF($T$4:T131,1),"")</f>
        <v/>
      </c>
      <c r="V131" s="26" t="str">
        <f>'施設状況(要更新)'!$E131&amp;'施設状況(要更新)'!$C131</f>
        <v>清田区01保育所</v>
      </c>
      <c r="W131" s="26" t="str">
        <f>'施設状況(要更新)'!$F131</f>
        <v>さわやか保育園</v>
      </c>
      <c r="X131" s="27"/>
      <c r="Y131" s="26"/>
      <c r="Z131" s="43"/>
      <c r="AA131" s="43"/>
      <c r="AB131" s="43"/>
      <c r="AC131" s="43"/>
      <c r="AD131" s="43"/>
      <c r="AE131" s="43"/>
      <c r="AF131" s="43"/>
      <c r="AG131" s="43"/>
    </row>
    <row r="132" spans="1:33">
      <c r="A132" s="45">
        <v>550006</v>
      </c>
      <c r="B132" s="46" t="s">
        <v>277</v>
      </c>
      <c r="C132" s="46" t="s">
        <v>626</v>
      </c>
      <c r="D132" s="46" t="s">
        <v>1027</v>
      </c>
      <c r="E132" s="46" t="s">
        <v>371</v>
      </c>
      <c r="F132" s="46" t="s">
        <v>375</v>
      </c>
      <c r="G132" s="46"/>
      <c r="H132" s="46"/>
      <c r="I132" s="46"/>
      <c r="J132" s="46">
        <v>100</v>
      </c>
      <c r="K132" s="46">
        <v>0</v>
      </c>
      <c r="L132" s="46">
        <v>54</v>
      </c>
      <c r="M132" s="46">
        <v>10</v>
      </c>
      <c r="N132" s="46">
        <v>36</v>
      </c>
      <c r="O132" s="46">
        <f>SUM(テーブル1[[#This Row],[列11]:[列12]])</f>
        <v>46</v>
      </c>
      <c r="P132" s="46"/>
      <c r="Q132" s="46"/>
      <c r="R132" s="46">
        <f t="shared" si="9"/>
        <v>100</v>
      </c>
      <c r="S132" s="25">
        <f t="shared" si="10"/>
        <v>550006</v>
      </c>
      <c r="T132" s="25">
        <f>COUNTIF($V$4:V132,V132)</f>
        <v>4</v>
      </c>
      <c r="U132" s="25" t="str">
        <f>IF(T132=1,COUNTIF($T$4:T132,1),"")</f>
        <v/>
      </c>
      <c r="V132" s="26" t="str">
        <f>'施設状況(要更新)'!$E132&amp;'施設状況(要更新)'!$C132</f>
        <v>清田区01保育所</v>
      </c>
      <c r="W132" s="26" t="str">
        <f>'施設状況(要更新)'!$F132</f>
        <v>札幌あさひ保育園</v>
      </c>
      <c r="X132" s="27"/>
      <c r="Y132" s="26"/>
    </row>
    <row r="133" spans="1:33">
      <c r="A133" s="45">
        <v>550008</v>
      </c>
      <c r="B133" s="46" t="s">
        <v>277</v>
      </c>
      <c r="C133" s="46" t="s">
        <v>626</v>
      </c>
      <c r="D133" s="46" t="s">
        <v>1027</v>
      </c>
      <c r="E133" s="46" t="s">
        <v>371</v>
      </c>
      <c r="F133" s="46" t="s">
        <v>376</v>
      </c>
      <c r="G133" s="46"/>
      <c r="H133" s="46"/>
      <c r="I133" s="46"/>
      <c r="J133" s="46">
        <v>60</v>
      </c>
      <c r="K133" s="46">
        <v>0</v>
      </c>
      <c r="L133" s="46">
        <v>27</v>
      </c>
      <c r="M133" s="46">
        <v>5</v>
      </c>
      <c r="N133" s="46">
        <v>18</v>
      </c>
      <c r="O133" s="46">
        <f>SUM(テーブル1[[#This Row],[列11]:[列12]])</f>
        <v>23</v>
      </c>
      <c r="P133" s="46"/>
      <c r="Q133" s="46"/>
      <c r="R133" s="46">
        <f t="shared" ref="R133:R196" si="11">SUM(K133,L133,O133)</f>
        <v>50</v>
      </c>
      <c r="S133" s="25">
        <f t="shared" ref="S133:S196" si="12">A133</f>
        <v>550008</v>
      </c>
      <c r="T133" s="25">
        <f>COUNTIF($V$4:V133,V133)</f>
        <v>5</v>
      </c>
      <c r="U133" s="25" t="str">
        <f>IF(T133=1,COUNTIF($T$4:T133,1),"")</f>
        <v/>
      </c>
      <c r="V133" s="26" t="str">
        <f>'施設状況(要更新)'!$E133&amp;'施設状況(要更新)'!$C133</f>
        <v>清田区01保育所</v>
      </c>
      <c r="W133" s="26" t="str">
        <f>'施設状況(要更新)'!$F133</f>
        <v>札幌真栄東保育園</v>
      </c>
      <c r="X133" s="27"/>
      <c r="Y133" s="26"/>
    </row>
    <row r="134" spans="1:33">
      <c r="A134" s="45">
        <v>550030</v>
      </c>
      <c r="B134" s="46" t="s">
        <v>277</v>
      </c>
      <c r="C134" s="46" t="s">
        <v>626</v>
      </c>
      <c r="D134" s="46" t="s">
        <v>1027</v>
      </c>
      <c r="E134" s="46" t="s">
        <v>371</v>
      </c>
      <c r="F134" s="46" t="s">
        <v>1058</v>
      </c>
      <c r="G134" s="46"/>
      <c r="H134" s="46"/>
      <c r="I134" s="46"/>
      <c r="J134" s="46">
        <v>40</v>
      </c>
      <c r="K134" s="46">
        <v>0</v>
      </c>
      <c r="L134" s="46">
        <v>24</v>
      </c>
      <c r="M134" s="46">
        <v>2</v>
      </c>
      <c r="N134" s="46">
        <v>14</v>
      </c>
      <c r="O134" s="46">
        <f>SUM(テーブル1[[#This Row],[列11]:[列12]])</f>
        <v>16</v>
      </c>
      <c r="P134" s="46"/>
      <c r="Q134" s="46"/>
      <c r="R134" s="46">
        <f t="shared" si="11"/>
        <v>40</v>
      </c>
      <c r="S134" s="25">
        <f t="shared" si="12"/>
        <v>550030</v>
      </c>
      <c r="T134" s="25">
        <f>COUNTIF($V$4:V134,V134)</f>
        <v>6</v>
      </c>
      <c r="U134" s="25" t="str">
        <f>IF(T134=1,COUNTIF($T$4:T134,1),"")</f>
        <v/>
      </c>
      <c r="V134" s="26" t="str">
        <f>'施設状況(要更新)'!$E134&amp;'施設状況(要更新)'!$C134</f>
        <v>清田区01保育所</v>
      </c>
      <c r="W134" s="26" t="str">
        <f>'施設状況(要更新)'!$F134</f>
        <v>ラブクローバーの保育園　札幌清田</v>
      </c>
      <c r="X134" s="27"/>
      <c r="Y134" s="26"/>
    </row>
    <row r="135" spans="1:33">
      <c r="A135" s="45">
        <v>550039</v>
      </c>
      <c r="B135" s="46" t="s">
        <v>277</v>
      </c>
      <c r="C135" s="46" t="s">
        <v>626</v>
      </c>
      <c r="D135" s="46" t="s">
        <v>1027</v>
      </c>
      <c r="E135" s="46" t="s">
        <v>371</v>
      </c>
      <c r="F135" s="46" t="s">
        <v>1059</v>
      </c>
      <c r="G135" s="46"/>
      <c r="H135" s="46"/>
      <c r="I135" s="46"/>
      <c r="J135" s="46">
        <v>40</v>
      </c>
      <c r="K135" s="46">
        <v>0</v>
      </c>
      <c r="L135" s="46">
        <v>24</v>
      </c>
      <c r="M135" s="46">
        <v>2</v>
      </c>
      <c r="N135" s="46">
        <v>14</v>
      </c>
      <c r="O135" s="46">
        <f>SUM(テーブル1[[#This Row],[列11]:[列12]])</f>
        <v>16</v>
      </c>
      <c r="P135" s="46"/>
      <c r="Q135" s="46"/>
      <c r="R135" s="46">
        <f t="shared" si="11"/>
        <v>40</v>
      </c>
      <c r="S135" s="25">
        <f t="shared" si="12"/>
        <v>550039</v>
      </c>
      <c r="T135" s="25">
        <f>COUNTIF($V$4:V135,V135)</f>
        <v>7</v>
      </c>
      <c r="U135" s="25" t="str">
        <f>IF(T135=1,COUNTIF($T$4:T135,1),"")</f>
        <v/>
      </c>
      <c r="V135" s="26" t="str">
        <f>'施設状況(要更新)'!$E135&amp;'施設状況(要更新)'!$C135</f>
        <v>清田区01保育所</v>
      </c>
      <c r="W135" s="26" t="str">
        <f>'施設状況(要更新)'!$F135</f>
        <v>認可保育園Ｌｉｎｄｏ</v>
      </c>
      <c r="X135" s="27"/>
      <c r="Y135" s="26"/>
    </row>
    <row r="136" spans="1:33">
      <c r="A136" s="45">
        <v>550040</v>
      </c>
      <c r="B136" s="46" t="s">
        <v>277</v>
      </c>
      <c r="C136" s="46" t="s">
        <v>626</v>
      </c>
      <c r="D136" s="46" t="s">
        <v>1027</v>
      </c>
      <c r="E136" s="46" t="s">
        <v>371</v>
      </c>
      <c r="F136" s="46" t="s">
        <v>1225</v>
      </c>
      <c r="G136" s="46"/>
      <c r="H136" s="46"/>
      <c r="I136" s="46"/>
      <c r="J136" s="46">
        <v>40</v>
      </c>
      <c r="K136" s="46">
        <v>0</v>
      </c>
      <c r="L136" s="46">
        <v>24</v>
      </c>
      <c r="M136" s="46">
        <v>2</v>
      </c>
      <c r="N136" s="46">
        <v>14</v>
      </c>
      <c r="O136" s="46">
        <f>SUM(テーブル1[[#This Row],[列11]:[列12]])</f>
        <v>16</v>
      </c>
      <c r="P136" s="46"/>
      <c r="Q136" s="46"/>
      <c r="R136" s="46">
        <f t="shared" si="11"/>
        <v>40</v>
      </c>
      <c r="S136" s="25">
        <f t="shared" si="12"/>
        <v>550040</v>
      </c>
      <c r="T136" s="25">
        <f>COUNTIF($V$4:V136,V136)</f>
        <v>8</v>
      </c>
      <c r="U136" s="25" t="str">
        <f>IF(T136=1,COUNTIF($T$4:T136,1),"")</f>
        <v/>
      </c>
      <c r="V136" s="26" t="str">
        <f>'施設状況(要更新)'!$E136&amp;'施設状況(要更新)'!$C136</f>
        <v>清田区01保育所</v>
      </c>
      <c r="W136" s="26" t="str">
        <f>'施設状況(要更新)'!$F136</f>
        <v>ラブクローバーの保育園札幌北野</v>
      </c>
      <c r="X136" s="27"/>
      <c r="Y136" s="26"/>
    </row>
    <row r="137" spans="1:33">
      <c r="A137" s="45">
        <v>550041</v>
      </c>
      <c r="B137" s="46" t="s">
        <v>277</v>
      </c>
      <c r="C137" s="46" t="s">
        <v>626</v>
      </c>
      <c r="D137" s="46" t="s">
        <v>1027</v>
      </c>
      <c r="E137" s="46" t="s">
        <v>371</v>
      </c>
      <c r="F137" s="46" t="s">
        <v>1060</v>
      </c>
      <c r="G137" s="46"/>
      <c r="H137" s="46"/>
      <c r="I137" s="46"/>
      <c r="J137" s="46">
        <v>40</v>
      </c>
      <c r="K137" s="46">
        <v>0</v>
      </c>
      <c r="L137" s="46">
        <v>24</v>
      </c>
      <c r="M137" s="46">
        <v>2</v>
      </c>
      <c r="N137" s="46">
        <v>14</v>
      </c>
      <c r="O137" s="46">
        <f>SUM(テーブル1[[#This Row],[列11]:[列12]])</f>
        <v>16</v>
      </c>
      <c r="P137" s="46"/>
      <c r="Q137" s="46"/>
      <c r="R137" s="46">
        <f t="shared" si="11"/>
        <v>40</v>
      </c>
      <c r="S137" s="25">
        <f t="shared" si="12"/>
        <v>550041</v>
      </c>
      <c r="T137" s="25">
        <f>COUNTIF($V$4:V137,V137)</f>
        <v>9</v>
      </c>
      <c r="U137" s="25" t="str">
        <f>IF(T137=1,COUNTIF($T$4:T137,1),"")</f>
        <v/>
      </c>
      <c r="V137" s="26" t="str">
        <f>'施設状況(要更新)'!$E137&amp;'施設状況(要更新)'!$C137</f>
        <v>清田区01保育所</v>
      </c>
      <c r="W137" s="26" t="str">
        <f>'施設状況(要更新)'!$F137</f>
        <v>ちゅうわ清田保育園</v>
      </c>
      <c r="X137" s="27"/>
      <c r="Y137" s="26"/>
    </row>
    <row r="138" spans="1:33">
      <c r="A138" s="45">
        <v>550042</v>
      </c>
      <c r="B138" s="46" t="s">
        <v>277</v>
      </c>
      <c r="C138" s="46" t="s">
        <v>626</v>
      </c>
      <c r="D138" s="46" t="s">
        <v>1027</v>
      </c>
      <c r="E138" s="46" t="s">
        <v>371</v>
      </c>
      <c r="F138" s="46" t="s">
        <v>1226</v>
      </c>
      <c r="G138" s="46"/>
      <c r="H138" s="46"/>
      <c r="I138" s="46"/>
      <c r="J138" s="46">
        <v>60</v>
      </c>
      <c r="K138" s="46">
        <v>0</v>
      </c>
      <c r="L138" s="46">
        <v>35</v>
      </c>
      <c r="M138" s="46">
        <v>3</v>
      </c>
      <c r="N138" s="46">
        <v>22</v>
      </c>
      <c r="O138" s="46">
        <f>SUM(テーブル1[[#This Row],[列11]:[列12]])</f>
        <v>25</v>
      </c>
      <c r="P138" s="46"/>
      <c r="Q138" s="46"/>
      <c r="R138" s="46">
        <f t="shared" si="11"/>
        <v>60</v>
      </c>
      <c r="S138" s="25">
        <f t="shared" si="12"/>
        <v>550042</v>
      </c>
      <c r="T138" s="25">
        <f>COUNTIF($V$4:V138,V138)</f>
        <v>10</v>
      </c>
      <c r="U138" s="25" t="str">
        <f>IF(T138=1,COUNTIF($T$4:T138,1),"")</f>
        <v/>
      </c>
      <c r="V138" s="26" t="str">
        <f>'施設状況(要更新)'!$E138&amp;'施設状況(要更新)'!$C138</f>
        <v>清田区01保育所</v>
      </c>
      <c r="W138" s="26" t="str">
        <f>'施設状況(要更新)'!$F138</f>
        <v>緑ヶ丘保育園</v>
      </c>
      <c r="X138" s="27"/>
      <c r="Y138" s="26"/>
    </row>
    <row r="139" spans="1:33">
      <c r="A139" s="45">
        <v>600003</v>
      </c>
      <c r="B139" s="46" t="s">
        <v>277</v>
      </c>
      <c r="C139" s="46" t="s">
        <v>626</v>
      </c>
      <c r="D139" s="46" t="s">
        <v>1027</v>
      </c>
      <c r="E139" s="46" t="s">
        <v>377</v>
      </c>
      <c r="F139" s="46" t="s">
        <v>378</v>
      </c>
      <c r="G139" s="46"/>
      <c r="H139" s="46"/>
      <c r="I139" s="46"/>
      <c r="J139" s="46">
        <v>130</v>
      </c>
      <c r="K139" s="46">
        <v>0</v>
      </c>
      <c r="L139" s="46">
        <v>76</v>
      </c>
      <c r="M139" s="46">
        <v>16</v>
      </c>
      <c r="N139" s="46">
        <v>38</v>
      </c>
      <c r="O139" s="46">
        <f>SUM(テーブル1[[#This Row],[列11]:[列12]])</f>
        <v>54</v>
      </c>
      <c r="P139" s="46"/>
      <c r="Q139" s="46"/>
      <c r="R139" s="46">
        <f t="shared" si="11"/>
        <v>130</v>
      </c>
      <c r="S139" s="25">
        <f t="shared" si="12"/>
        <v>600003</v>
      </c>
      <c r="T139" s="25">
        <f>COUNTIF($V$4:V139,V139)</f>
        <v>1</v>
      </c>
      <c r="U139" s="25">
        <f>IF(T139=1,COUNTIF($T$4:T139,1),"")</f>
        <v>8</v>
      </c>
      <c r="V139" s="26" t="str">
        <f>'施設状況(要更新)'!$E139&amp;'施設状況(要更新)'!$C139</f>
        <v>南区01保育所</v>
      </c>
      <c r="W139" s="26" t="str">
        <f>'施設状況(要更新)'!$F139</f>
        <v>真駒内保育園</v>
      </c>
      <c r="X139" s="27"/>
      <c r="Y139" s="26"/>
    </row>
    <row r="140" spans="1:33">
      <c r="A140" s="45">
        <v>600005</v>
      </c>
      <c r="B140" s="46" t="s">
        <v>277</v>
      </c>
      <c r="C140" s="46" t="s">
        <v>626</v>
      </c>
      <c r="D140" s="46" t="s">
        <v>1027</v>
      </c>
      <c r="E140" s="46" t="s">
        <v>377</v>
      </c>
      <c r="F140" s="46" t="s">
        <v>1244</v>
      </c>
      <c r="G140" s="46"/>
      <c r="H140" s="46"/>
      <c r="I140" s="46"/>
      <c r="J140" s="46">
        <v>150</v>
      </c>
      <c r="K140" s="46">
        <v>0</v>
      </c>
      <c r="L140" s="46">
        <v>51</v>
      </c>
      <c r="M140" s="46">
        <v>5</v>
      </c>
      <c r="N140" s="46">
        <v>34</v>
      </c>
      <c r="O140" s="46">
        <f>SUM(テーブル1[[#This Row],[列11]:[列12]])</f>
        <v>39</v>
      </c>
      <c r="P140" s="46"/>
      <c r="Q140" s="46"/>
      <c r="R140" s="46">
        <f t="shared" si="11"/>
        <v>90</v>
      </c>
      <c r="S140" s="25">
        <f t="shared" si="12"/>
        <v>600005</v>
      </c>
      <c r="T140" s="25">
        <f>COUNTIF($V$4:V140,V140)</f>
        <v>2</v>
      </c>
      <c r="U140" s="25" t="str">
        <f>IF(T140=1,COUNTIF($T$4:T140,1),"")</f>
        <v/>
      </c>
      <c r="V140" s="26" t="str">
        <f>'施設状況(要更新)'!$E140&amp;'施設状況(要更新)'!$C140</f>
        <v>南区01保育所</v>
      </c>
      <c r="W140" s="26" t="str">
        <f>'施設状況(要更新)'!$F140</f>
        <v>藻岩そらいろ保育園</v>
      </c>
      <c r="X140" s="27"/>
      <c r="Y140" s="26"/>
    </row>
    <row r="141" spans="1:33">
      <c r="A141" s="45">
        <v>600008</v>
      </c>
      <c r="B141" s="46" t="s">
        <v>277</v>
      </c>
      <c r="C141" s="46" t="s">
        <v>626</v>
      </c>
      <c r="D141" s="46" t="s">
        <v>1027</v>
      </c>
      <c r="E141" s="46" t="s">
        <v>377</v>
      </c>
      <c r="F141" s="46" t="s">
        <v>379</v>
      </c>
      <c r="G141" s="46"/>
      <c r="H141" s="46"/>
      <c r="I141" s="46"/>
      <c r="J141" s="46">
        <v>160</v>
      </c>
      <c r="K141" s="46">
        <v>0</v>
      </c>
      <c r="L141" s="46">
        <v>90</v>
      </c>
      <c r="M141" s="46">
        <v>12</v>
      </c>
      <c r="N141" s="46">
        <v>48</v>
      </c>
      <c r="O141" s="46">
        <f>SUM(テーブル1[[#This Row],[列11]:[列12]])</f>
        <v>60</v>
      </c>
      <c r="P141" s="46"/>
      <c r="Q141" s="46"/>
      <c r="R141" s="46">
        <f t="shared" si="11"/>
        <v>150</v>
      </c>
      <c r="S141" s="25">
        <f t="shared" si="12"/>
        <v>600008</v>
      </c>
      <c r="T141" s="25">
        <f>COUNTIF($V$4:V141,V141)</f>
        <v>3</v>
      </c>
      <c r="U141" s="25" t="str">
        <f>IF(T141=1,COUNTIF($T$4:T141,1),"")</f>
        <v/>
      </c>
      <c r="V141" s="26" t="str">
        <f>'施設状況(要更新)'!$E141&amp;'施設状況(要更新)'!$C141</f>
        <v>南区01保育所</v>
      </c>
      <c r="W141" s="26" t="str">
        <f>'施設状況(要更新)'!$F141</f>
        <v>まこまないみどりまち保育園</v>
      </c>
      <c r="X141" s="27"/>
      <c r="Y141" s="26"/>
    </row>
    <row r="142" spans="1:33">
      <c r="A142" s="45">
        <v>600011</v>
      </c>
      <c r="B142" s="46" t="s">
        <v>277</v>
      </c>
      <c r="C142" s="46" t="s">
        <v>626</v>
      </c>
      <c r="D142" s="46" t="s">
        <v>1027</v>
      </c>
      <c r="E142" s="46" t="s">
        <v>377</v>
      </c>
      <c r="F142" s="46" t="s">
        <v>1061</v>
      </c>
      <c r="G142" s="46"/>
      <c r="H142" s="46"/>
      <c r="I142" s="46"/>
      <c r="J142" s="46">
        <v>70</v>
      </c>
      <c r="K142" s="46">
        <v>0</v>
      </c>
      <c r="L142" s="46">
        <v>39</v>
      </c>
      <c r="M142" s="46">
        <v>9</v>
      </c>
      <c r="N142" s="46">
        <v>22</v>
      </c>
      <c r="O142" s="46">
        <f>SUM(テーブル1[[#This Row],[列11]:[列12]])</f>
        <v>31</v>
      </c>
      <c r="P142" s="46"/>
      <c r="Q142" s="46"/>
      <c r="R142" s="46">
        <f t="shared" si="11"/>
        <v>70</v>
      </c>
      <c r="S142" s="25">
        <f t="shared" si="12"/>
        <v>600011</v>
      </c>
      <c r="T142" s="25">
        <f>COUNTIF($V$4:V142,V142)</f>
        <v>4</v>
      </c>
      <c r="U142" s="25" t="str">
        <f>IF(T142=1,COUNTIF($T$4:T142,1),"")</f>
        <v/>
      </c>
      <c r="V142" s="26" t="str">
        <f>'施設状況(要更新)'!$E142&amp;'施設状況(要更新)'!$C142</f>
        <v>南区01保育所</v>
      </c>
      <c r="W142" s="26" t="str">
        <f>'施設状況(要更新)'!$F142</f>
        <v>大地の杜保育園</v>
      </c>
      <c r="X142" s="27"/>
      <c r="Y142" s="26"/>
    </row>
    <row r="143" spans="1:33">
      <c r="A143" s="45">
        <v>600012</v>
      </c>
      <c r="B143" s="46" t="s">
        <v>277</v>
      </c>
      <c r="C143" s="46" t="s">
        <v>626</v>
      </c>
      <c r="D143" s="46" t="s">
        <v>1027</v>
      </c>
      <c r="E143" s="46" t="s">
        <v>377</v>
      </c>
      <c r="F143" s="46" t="s">
        <v>380</v>
      </c>
      <c r="G143" s="46"/>
      <c r="H143" s="46"/>
      <c r="I143" s="46"/>
      <c r="J143" s="46">
        <v>60</v>
      </c>
      <c r="K143" s="46">
        <v>0</v>
      </c>
      <c r="L143" s="46">
        <v>35</v>
      </c>
      <c r="M143" s="46">
        <v>5</v>
      </c>
      <c r="N143" s="46">
        <v>20</v>
      </c>
      <c r="O143" s="46">
        <f>SUM(テーブル1[[#This Row],[列11]:[列12]])</f>
        <v>25</v>
      </c>
      <c r="P143" s="46"/>
      <c r="Q143" s="46"/>
      <c r="R143" s="46">
        <f t="shared" si="11"/>
        <v>60</v>
      </c>
      <c r="S143" s="25">
        <f t="shared" si="12"/>
        <v>600012</v>
      </c>
      <c r="T143" s="25">
        <f>COUNTIF($V$4:V143,V143)</f>
        <v>5</v>
      </c>
      <c r="U143" s="25" t="str">
        <f>IF(T143=1,COUNTIF($T$4:T143,1),"")</f>
        <v/>
      </c>
      <c r="V143" s="26" t="str">
        <f>'施設状況(要更新)'!$E143&amp;'施設状況(要更新)'!$C143</f>
        <v>南区01保育所</v>
      </c>
      <c r="W143" s="26" t="str">
        <f>'施設状況(要更新)'!$F143</f>
        <v>遊・Ｗｉｎｇ</v>
      </c>
      <c r="X143" s="27"/>
      <c r="Y143" s="26"/>
    </row>
    <row r="144" spans="1:33">
      <c r="A144" s="45">
        <v>600013</v>
      </c>
      <c r="B144" s="46" t="s">
        <v>277</v>
      </c>
      <c r="C144" s="46" t="s">
        <v>626</v>
      </c>
      <c r="D144" s="46" t="s">
        <v>1027</v>
      </c>
      <c r="E144" s="46" t="s">
        <v>377</v>
      </c>
      <c r="F144" s="46" t="s">
        <v>381</v>
      </c>
      <c r="G144" s="46"/>
      <c r="H144" s="46"/>
      <c r="I144" s="46"/>
      <c r="J144" s="46">
        <v>60</v>
      </c>
      <c r="K144" s="46">
        <v>0</v>
      </c>
      <c r="L144" s="46">
        <v>33</v>
      </c>
      <c r="M144" s="46">
        <v>6</v>
      </c>
      <c r="N144" s="46">
        <v>21</v>
      </c>
      <c r="O144" s="46">
        <f>SUM(テーブル1[[#This Row],[列11]:[列12]])</f>
        <v>27</v>
      </c>
      <c r="P144" s="46"/>
      <c r="Q144" s="46"/>
      <c r="R144" s="46">
        <f t="shared" si="11"/>
        <v>60</v>
      </c>
      <c r="S144" s="25">
        <f t="shared" si="12"/>
        <v>600013</v>
      </c>
      <c r="T144" s="25">
        <f>COUNTIF($V$4:V144,V144)</f>
        <v>6</v>
      </c>
      <c r="U144" s="25" t="str">
        <f>IF(T144=1,COUNTIF($T$4:T144,1),"")</f>
        <v/>
      </c>
      <c r="V144" s="26" t="str">
        <f>'施設状況(要更新)'!$E144&amp;'施設状況(要更新)'!$C144</f>
        <v>南区01保育所</v>
      </c>
      <c r="W144" s="26" t="str">
        <f>'施設状況(要更新)'!$F144</f>
        <v>くまの子保育園</v>
      </c>
      <c r="X144" s="27"/>
      <c r="Y144" s="26"/>
    </row>
    <row r="145" spans="1:33">
      <c r="A145" s="45">
        <v>600014</v>
      </c>
      <c r="B145" s="46" t="s">
        <v>277</v>
      </c>
      <c r="C145" s="46" t="s">
        <v>626</v>
      </c>
      <c r="D145" s="46" t="s">
        <v>1027</v>
      </c>
      <c r="E145" s="46" t="s">
        <v>377</v>
      </c>
      <c r="F145" s="46" t="s">
        <v>382</v>
      </c>
      <c r="G145" s="46"/>
      <c r="H145" s="46"/>
      <c r="I145" s="46"/>
      <c r="J145" s="46">
        <v>60</v>
      </c>
      <c r="K145" s="46">
        <v>0</v>
      </c>
      <c r="L145" s="46">
        <v>36</v>
      </c>
      <c r="M145" s="46">
        <v>3</v>
      </c>
      <c r="N145" s="46">
        <v>21</v>
      </c>
      <c r="O145" s="46">
        <f>SUM(テーブル1[[#This Row],[列11]:[列12]])</f>
        <v>24</v>
      </c>
      <c r="P145" s="46"/>
      <c r="Q145" s="46"/>
      <c r="R145" s="46">
        <f t="shared" si="11"/>
        <v>60</v>
      </c>
      <c r="S145" s="25">
        <f t="shared" si="12"/>
        <v>600014</v>
      </c>
      <c r="T145" s="25">
        <f>COUNTIF($V$4:V145,V145)</f>
        <v>7</v>
      </c>
      <c r="U145" s="25" t="str">
        <f>IF(T145=1,COUNTIF($T$4:T145,1),"")</f>
        <v/>
      </c>
      <c r="V145" s="26" t="str">
        <f>'施設状況(要更新)'!$E145&amp;'施設状況(要更新)'!$C145</f>
        <v>南区01保育所</v>
      </c>
      <c r="W145" s="26" t="str">
        <f>'施設状況(要更新)'!$F145</f>
        <v>藤ヶ丘保育園</v>
      </c>
      <c r="X145" s="27"/>
      <c r="Y145" s="26"/>
    </row>
    <row r="146" spans="1:33">
      <c r="A146" s="45">
        <v>600015</v>
      </c>
      <c r="B146" s="46" t="s">
        <v>277</v>
      </c>
      <c r="C146" s="46" t="s">
        <v>626</v>
      </c>
      <c r="D146" s="46" t="s">
        <v>1027</v>
      </c>
      <c r="E146" s="46" t="s">
        <v>377</v>
      </c>
      <c r="F146" s="46" t="s">
        <v>383</v>
      </c>
      <c r="G146" s="46"/>
      <c r="H146" s="46"/>
      <c r="I146" s="46"/>
      <c r="J146" s="46">
        <v>70</v>
      </c>
      <c r="K146" s="46">
        <v>0</v>
      </c>
      <c r="L146" s="46">
        <v>36</v>
      </c>
      <c r="M146" s="46">
        <v>6</v>
      </c>
      <c r="N146" s="46">
        <v>18</v>
      </c>
      <c r="O146" s="46">
        <f>SUM(テーブル1[[#This Row],[列11]:[列12]])</f>
        <v>24</v>
      </c>
      <c r="P146" s="46"/>
      <c r="Q146" s="46"/>
      <c r="R146" s="46">
        <f t="shared" si="11"/>
        <v>60</v>
      </c>
      <c r="S146" s="25">
        <f t="shared" si="12"/>
        <v>600015</v>
      </c>
      <c r="T146" s="25">
        <f>COUNTIF($V$4:V146,V146)</f>
        <v>8</v>
      </c>
      <c r="U146" s="25" t="str">
        <f>IF(T146=1,COUNTIF($T$4:T146,1),"")</f>
        <v/>
      </c>
      <c r="V146" s="26" t="str">
        <f>'施設状況(要更新)'!$E146&amp;'施設状況(要更新)'!$C146</f>
        <v>南区01保育所</v>
      </c>
      <c r="W146" s="26" t="str">
        <f>'施設状況(要更新)'!$F146</f>
        <v>ルンビニー保育園</v>
      </c>
      <c r="X146" s="27"/>
      <c r="Y146" s="26"/>
    </row>
    <row r="147" spans="1:33">
      <c r="A147" s="45">
        <v>600040</v>
      </c>
      <c r="B147" s="46" t="s">
        <v>277</v>
      </c>
      <c r="C147" s="46" t="s">
        <v>626</v>
      </c>
      <c r="D147" s="46" t="s">
        <v>1027</v>
      </c>
      <c r="E147" s="46" t="s">
        <v>377</v>
      </c>
      <c r="F147" s="46" t="s">
        <v>1227</v>
      </c>
      <c r="G147" s="46"/>
      <c r="H147" s="46"/>
      <c r="I147" s="46"/>
      <c r="J147" s="46">
        <v>32</v>
      </c>
      <c r="K147" s="46">
        <v>0</v>
      </c>
      <c r="L147" s="46">
        <v>18</v>
      </c>
      <c r="M147" s="46">
        <v>4</v>
      </c>
      <c r="N147" s="46">
        <v>10</v>
      </c>
      <c r="O147" s="46">
        <f>SUM(テーブル1[[#This Row],[列11]:[列12]])</f>
        <v>14</v>
      </c>
      <c r="P147" s="46"/>
      <c r="Q147" s="46"/>
      <c r="R147" s="46">
        <f t="shared" si="11"/>
        <v>32</v>
      </c>
      <c r="S147" s="25">
        <f t="shared" si="12"/>
        <v>600040</v>
      </c>
      <c r="T147" s="25">
        <f>COUNTIF($V$4:V147,V147)</f>
        <v>9</v>
      </c>
      <c r="U147" s="25" t="str">
        <f>IF(T147=1,COUNTIF($T$4:T147,1),"")</f>
        <v/>
      </c>
      <c r="V147" s="26" t="str">
        <f>'施設状況(要更新)'!$E147&amp;'施設状況(要更新)'!$C147</f>
        <v>南区01保育所</v>
      </c>
      <c r="W147" s="26" t="str">
        <f>'施設状況(要更新)'!$F147</f>
        <v>ちびっこの杜保育園</v>
      </c>
      <c r="X147" s="27"/>
      <c r="Y147" s="26"/>
    </row>
    <row r="148" spans="1:33">
      <c r="A148" s="45">
        <v>600044</v>
      </c>
      <c r="B148" s="46" t="s">
        <v>277</v>
      </c>
      <c r="C148" s="46" t="s">
        <v>626</v>
      </c>
      <c r="D148" s="46" t="s">
        <v>1027</v>
      </c>
      <c r="E148" s="46" t="s">
        <v>377</v>
      </c>
      <c r="F148" s="46" t="s">
        <v>1062</v>
      </c>
      <c r="G148" s="46"/>
      <c r="H148" s="46"/>
      <c r="I148" s="46"/>
      <c r="J148" s="46">
        <v>60</v>
      </c>
      <c r="K148" s="46">
        <v>0</v>
      </c>
      <c r="L148" s="46">
        <v>35</v>
      </c>
      <c r="M148" s="46">
        <v>3</v>
      </c>
      <c r="N148" s="46">
        <v>22</v>
      </c>
      <c r="O148" s="46">
        <f>SUM(テーブル1[[#This Row],[列11]:[列12]])</f>
        <v>25</v>
      </c>
      <c r="P148" s="46"/>
      <c r="Q148" s="46"/>
      <c r="R148" s="46">
        <f t="shared" si="11"/>
        <v>60</v>
      </c>
      <c r="S148" s="25">
        <f t="shared" si="12"/>
        <v>600044</v>
      </c>
      <c r="T148" s="25">
        <f>COUNTIF($V$4:V148,V148)</f>
        <v>10</v>
      </c>
      <c r="U148" s="25" t="str">
        <f>IF(T148=1,COUNTIF($T$4:T148,1),"")</f>
        <v/>
      </c>
      <c r="V148" s="26" t="str">
        <f>'施設状況(要更新)'!$E148&amp;'施設状況(要更新)'!$C148</f>
        <v>南区01保育所</v>
      </c>
      <c r="W148" s="26" t="str">
        <f>'施設状況(要更新)'!$F148</f>
        <v>こどもみらい保育園常盤園</v>
      </c>
      <c r="X148" s="27"/>
      <c r="Y148" s="26"/>
    </row>
    <row r="149" spans="1:33">
      <c r="A149" s="45">
        <v>600074</v>
      </c>
      <c r="B149" s="46" t="s">
        <v>277</v>
      </c>
      <c r="C149" s="46" t="s">
        <v>626</v>
      </c>
      <c r="D149" s="46" t="s">
        <v>1027</v>
      </c>
      <c r="E149" s="46" t="s">
        <v>377</v>
      </c>
      <c r="F149" s="46" t="s">
        <v>1245</v>
      </c>
      <c r="G149" s="46"/>
      <c r="H149" s="46"/>
      <c r="I149" s="46"/>
      <c r="J149" s="46">
        <v>40</v>
      </c>
      <c r="K149" s="46">
        <v>0</v>
      </c>
      <c r="L149" s="46">
        <v>24</v>
      </c>
      <c r="M149" s="46">
        <v>2</v>
      </c>
      <c r="N149" s="46">
        <v>14</v>
      </c>
      <c r="O149" s="46">
        <f>SUM(テーブル1[[#This Row],[列11]:[列12]])</f>
        <v>16</v>
      </c>
      <c r="P149" s="46"/>
      <c r="Q149" s="46"/>
      <c r="R149" s="46">
        <f t="shared" si="11"/>
        <v>40</v>
      </c>
      <c r="S149" s="25">
        <f t="shared" si="12"/>
        <v>600074</v>
      </c>
      <c r="T149" s="25">
        <f>COUNTIF($V$4:V149,V149)</f>
        <v>11</v>
      </c>
      <c r="U149" s="25" t="str">
        <f>IF(T149=1,COUNTIF($T$4:T149,1),"")</f>
        <v/>
      </c>
      <c r="V149" s="26" t="str">
        <f>'施設状況(要更新)'!$E149&amp;'施設状況(要更新)'!$C149</f>
        <v>南区01保育所</v>
      </c>
      <c r="W149" s="26" t="str">
        <f>'施設状況(要更新)'!$F149</f>
        <v>木育こどもの家南の沢保育園</v>
      </c>
      <c r="X149" s="27"/>
      <c r="Y149" s="26"/>
    </row>
    <row r="150" spans="1:33">
      <c r="A150" s="45">
        <v>700005</v>
      </c>
      <c r="B150" s="46" t="s">
        <v>277</v>
      </c>
      <c r="C150" s="46" t="s">
        <v>626</v>
      </c>
      <c r="D150" s="46" t="s">
        <v>1027</v>
      </c>
      <c r="E150" s="46" t="s">
        <v>384</v>
      </c>
      <c r="F150" s="46" t="s">
        <v>385</v>
      </c>
      <c r="G150" s="46"/>
      <c r="H150" s="46"/>
      <c r="I150" s="46"/>
      <c r="J150" s="46">
        <v>130</v>
      </c>
      <c r="K150" s="46">
        <v>0</v>
      </c>
      <c r="L150" s="46">
        <v>75</v>
      </c>
      <c r="M150" s="46">
        <v>15</v>
      </c>
      <c r="N150" s="46">
        <v>40</v>
      </c>
      <c r="O150" s="46">
        <f>SUM(テーブル1[[#This Row],[列11]:[列12]])</f>
        <v>55</v>
      </c>
      <c r="P150" s="46"/>
      <c r="Q150" s="46"/>
      <c r="R150" s="46">
        <f t="shared" si="11"/>
        <v>130</v>
      </c>
      <c r="S150" s="25">
        <f t="shared" si="12"/>
        <v>700005</v>
      </c>
      <c r="T150" s="25">
        <f>COUNTIF($V$4:V150,V150)</f>
        <v>1</v>
      </c>
      <c r="U150" s="25">
        <f>IF(T150=1,COUNTIF($T$4:T150,1),"")</f>
        <v>9</v>
      </c>
      <c r="V150" s="26" t="str">
        <f>'施設状況(要更新)'!$E150&amp;'施設状況(要更新)'!$C150</f>
        <v>西区01保育所</v>
      </c>
      <c r="W150" s="26" t="str">
        <f>'施設状況(要更新)'!$F150</f>
        <v>発寒ひかり保育園</v>
      </c>
      <c r="X150" s="27"/>
      <c r="Y150" s="26"/>
    </row>
    <row r="151" spans="1:33">
      <c r="A151" s="45">
        <v>700006</v>
      </c>
      <c r="B151" s="46" t="s">
        <v>277</v>
      </c>
      <c r="C151" s="46" t="s">
        <v>626</v>
      </c>
      <c r="D151" s="46" t="s">
        <v>1027</v>
      </c>
      <c r="E151" s="46" t="s">
        <v>384</v>
      </c>
      <c r="F151" s="46" t="s">
        <v>386</v>
      </c>
      <c r="G151" s="46"/>
      <c r="H151" s="46"/>
      <c r="I151" s="46"/>
      <c r="J151" s="46">
        <v>90</v>
      </c>
      <c r="K151" s="46">
        <v>0</v>
      </c>
      <c r="L151" s="46">
        <v>54</v>
      </c>
      <c r="M151" s="46">
        <v>6</v>
      </c>
      <c r="N151" s="46">
        <v>30</v>
      </c>
      <c r="O151" s="46">
        <f>SUM(テーブル1[[#This Row],[列11]:[列12]])</f>
        <v>36</v>
      </c>
      <c r="P151" s="46"/>
      <c r="Q151" s="46"/>
      <c r="R151" s="46">
        <f t="shared" si="11"/>
        <v>90</v>
      </c>
      <c r="S151" s="25">
        <f t="shared" si="12"/>
        <v>700006</v>
      </c>
      <c r="T151" s="25">
        <f>COUNTIF($V$4:V151,V151)</f>
        <v>2</v>
      </c>
      <c r="U151" s="25" t="str">
        <f>IF(T151=1,COUNTIF($T$4:T151,1),"")</f>
        <v/>
      </c>
      <c r="V151" s="26" t="str">
        <f>'施設状況(要更新)'!$E151&amp;'施設状況(要更新)'!$C151</f>
        <v>西区01保育所</v>
      </c>
      <c r="W151" s="26" t="str">
        <f>'施設状況(要更新)'!$F151</f>
        <v>西発寒保育園</v>
      </c>
      <c r="X151" s="27"/>
      <c r="Y151" s="26"/>
    </row>
    <row r="152" spans="1:33">
      <c r="A152" s="45">
        <v>700007</v>
      </c>
      <c r="B152" s="46" t="s">
        <v>277</v>
      </c>
      <c r="C152" s="46" t="s">
        <v>626</v>
      </c>
      <c r="D152" s="46" t="s">
        <v>1027</v>
      </c>
      <c r="E152" s="46" t="s">
        <v>384</v>
      </c>
      <c r="F152" s="46" t="s">
        <v>387</v>
      </c>
      <c r="G152" s="46"/>
      <c r="H152" s="46"/>
      <c r="I152" s="46"/>
      <c r="J152" s="46">
        <v>120</v>
      </c>
      <c r="K152" s="46">
        <v>0</v>
      </c>
      <c r="L152" s="46">
        <v>75</v>
      </c>
      <c r="M152" s="46">
        <v>9</v>
      </c>
      <c r="N152" s="46">
        <v>36</v>
      </c>
      <c r="O152" s="46">
        <f>SUM(テーブル1[[#This Row],[列11]:[列12]])</f>
        <v>45</v>
      </c>
      <c r="P152" s="46"/>
      <c r="Q152" s="46"/>
      <c r="R152" s="46">
        <f t="shared" si="11"/>
        <v>120</v>
      </c>
      <c r="S152" s="25">
        <f t="shared" si="12"/>
        <v>700007</v>
      </c>
      <c r="T152" s="25">
        <f>COUNTIF($V$4:V152,V152)</f>
        <v>3</v>
      </c>
      <c r="U152" s="25" t="str">
        <f>IF(T152=1,COUNTIF($T$4:T152,1),"")</f>
        <v/>
      </c>
      <c r="V152" s="26" t="str">
        <f>'施設状況(要更新)'!$E152&amp;'施設状況(要更新)'!$C152</f>
        <v>西区01保育所</v>
      </c>
      <c r="W152" s="26" t="str">
        <f>'施設状況(要更新)'!$F152</f>
        <v>発寒たんぽぽ保育園</v>
      </c>
      <c r="X152" s="27"/>
      <c r="Y152" s="26"/>
    </row>
    <row r="153" spans="1:33">
      <c r="A153" s="45">
        <v>700013</v>
      </c>
      <c r="B153" s="46" t="s">
        <v>277</v>
      </c>
      <c r="C153" s="46" t="s">
        <v>626</v>
      </c>
      <c r="D153" s="46" t="s">
        <v>1027</v>
      </c>
      <c r="E153" s="46" t="s">
        <v>384</v>
      </c>
      <c r="F153" s="46" t="s">
        <v>388</v>
      </c>
      <c r="G153" s="46"/>
      <c r="H153" s="46"/>
      <c r="I153" s="46"/>
      <c r="J153" s="46">
        <v>120</v>
      </c>
      <c r="K153" s="46">
        <v>0</v>
      </c>
      <c r="L153" s="46">
        <v>66</v>
      </c>
      <c r="M153" s="46">
        <v>12</v>
      </c>
      <c r="N153" s="46">
        <v>42</v>
      </c>
      <c r="O153" s="46">
        <f>SUM(テーブル1[[#This Row],[列11]:[列12]])</f>
        <v>54</v>
      </c>
      <c r="P153" s="46"/>
      <c r="Q153" s="46"/>
      <c r="R153" s="46">
        <f t="shared" si="11"/>
        <v>120</v>
      </c>
      <c r="S153" s="25">
        <f t="shared" si="12"/>
        <v>700013</v>
      </c>
      <c r="T153" s="25">
        <f>COUNTIF($V$4:V153,V153)</f>
        <v>4</v>
      </c>
      <c r="U153" s="25" t="str">
        <f>IF(T153=1,COUNTIF($T$4:T153,1),"")</f>
        <v/>
      </c>
      <c r="V153" s="26" t="str">
        <f>'施設状況(要更新)'!$E153&amp;'施設状況(要更新)'!$C153</f>
        <v>西区01保育所</v>
      </c>
      <c r="W153" s="26" t="str">
        <f>'施設状況(要更新)'!$F153</f>
        <v>西野中央保育園</v>
      </c>
      <c r="X153" s="27"/>
      <c r="Y153" s="26"/>
    </row>
    <row r="154" spans="1:33">
      <c r="A154" s="45">
        <v>700014</v>
      </c>
      <c r="B154" s="46" t="s">
        <v>277</v>
      </c>
      <c r="C154" s="46" t="s">
        <v>626</v>
      </c>
      <c r="D154" s="46" t="s">
        <v>1027</v>
      </c>
      <c r="E154" s="46" t="s">
        <v>384</v>
      </c>
      <c r="F154" s="46" t="s">
        <v>389</v>
      </c>
      <c r="G154" s="46"/>
      <c r="H154" s="46"/>
      <c r="I154" s="46"/>
      <c r="J154" s="46">
        <v>120</v>
      </c>
      <c r="K154" s="46">
        <v>0</v>
      </c>
      <c r="L154" s="46">
        <v>63</v>
      </c>
      <c r="M154" s="46">
        <v>8</v>
      </c>
      <c r="N154" s="46">
        <v>29</v>
      </c>
      <c r="O154" s="46">
        <f>SUM(テーブル1[[#This Row],[列11]:[列12]])</f>
        <v>37</v>
      </c>
      <c r="P154" s="46"/>
      <c r="Q154" s="46"/>
      <c r="R154" s="46">
        <f t="shared" si="11"/>
        <v>100</v>
      </c>
      <c r="S154" s="25">
        <f t="shared" si="12"/>
        <v>700014</v>
      </c>
      <c r="T154" s="25">
        <f>COUNTIF($V$4:V154,V154)</f>
        <v>5</v>
      </c>
      <c r="U154" s="25" t="str">
        <f>IF(T154=1,COUNTIF($T$4:T154,1),"")</f>
        <v/>
      </c>
      <c r="V154" s="26" t="str">
        <f>'施設状況(要更新)'!$E154&amp;'施設状況(要更新)'!$C154</f>
        <v>西区01保育所</v>
      </c>
      <c r="W154" s="26" t="str">
        <f>'施設状況(要更新)'!$F154</f>
        <v>八軒星の子保育園</v>
      </c>
      <c r="X154" s="27"/>
      <c r="Y154" s="26"/>
      <c r="Z154" s="26"/>
      <c r="AA154" s="26"/>
      <c r="AB154" s="26"/>
      <c r="AC154" s="26"/>
      <c r="AD154" s="26"/>
      <c r="AE154" s="26"/>
      <c r="AF154" s="26"/>
      <c r="AG154" s="26"/>
    </row>
    <row r="155" spans="1:33">
      <c r="A155" s="45">
        <v>700017</v>
      </c>
      <c r="B155" s="46" t="s">
        <v>277</v>
      </c>
      <c r="C155" s="46" t="s">
        <v>626</v>
      </c>
      <c r="D155" s="46" t="s">
        <v>1027</v>
      </c>
      <c r="E155" s="46" t="s">
        <v>384</v>
      </c>
      <c r="F155" s="46" t="s">
        <v>390</v>
      </c>
      <c r="G155" s="46"/>
      <c r="H155" s="46"/>
      <c r="I155" s="46"/>
      <c r="J155" s="46">
        <v>60</v>
      </c>
      <c r="K155" s="46">
        <v>0</v>
      </c>
      <c r="L155" s="46">
        <v>30</v>
      </c>
      <c r="M155" s="46">
        <v>10</v>
      </c>
      <c r="N155" s="46">
        <v>20</v>
      </c>
      <c r="O155" s="46">
        <f>SUM(テーブル1[[#This Row],[列11]:[列12]])</f>
        <v>30</v>
      </c>
      <c r="P155" s="46"/>
      <c r="Q155" s="46"/>
      <c r="R155" s="46">
        <f t="shared" si="11"/>
        <v>60</v>
      </c>
      <c r="S155" s="25">
        <f t="shared" si="12"/>
        <v>700017</v>
      </c>
      <c r="T155" s="25">
        <f>COUNTIF($V$4:V155,V155)</f>
        <v>6</v>
      </c>
      <c r="U155" s="25" t="str">
        <f>IF(T155=1,COUNTIF($T$4:T155,1),"")</f>
        <v/>
      </c>
      <c r="V155" s="26" t="str">
        <f>'施設状況(要更新)'!$E155&amp;'施設状況(要更新)'!$C155</f>
        <v>西区01保育所</v>
      </c>
      <c r="W155" s="26" t="str">
        <f>'施設状況(要更新)'!$F155</f>
        <v>こぐま保育園</v>
      </c>
      <c r="X155" s="27"/>
      <c r="Y155" s="26"/>
    </row>
    <row r="156" spans="1:33">
      <c r="A156" s="45">
        <v>700018</v>
      </c>
      <c r="B156" s="46" t="s">
        <v>277</v>
      </c>
      <c r="C156" s="46" t="s">
        <v>626</v>
      </c>
      <c r="D156" s="46" t="s">
        <v>1027</v>
      </c>
      <c r="E156" s="46" t="s">
        <v>384</v>
      </c>
      <c r="F156" s="46" t="s">
        <v>391</v>
      </c>
      <c r="G156" s="46"/>
      <c r="H156" s="46"/>
      <c r="I156" s="46"/>
      <c r="J156" s="46">
        <v>120</v>
      </c>
      <c r="K156" s="46">
        <v>0</v>
      </c>
      <c r="L156" s="46">
        <v>63</v>
      </c>
      <c r="M156" s="46">
        <v>15</v>
      </c>
      <c r="N156" s="46">
        <v>42</v>
      </c>
      <c r="O156" s="46">
        <f>SUM(テーブル1[[#This Row],[列11]:[列12]])</f>
        <v>57</v>
      </c>
      <c r="P156" s="46"/>
      <c r="Q156" s="46"/>
      <c r="R156" s="46">
        <f t="shared" si="11"/>
        <v>120</v>
      </c>
      <c r="S156" s="25">
        <f t="shared" si="12"/>
        <v>700018</v>
      </c>
      <c r="T156" s="25">
        <f>COUNTIF($V$4:V156,V156)</f>
        <v>7</v>
      </c>
      <c r="U156" s="25" t="str">
        <f>IF(T156=1,COUNTIF($T$4:T156,1),"")</f>
        <v/>
      </c>
      <c r="V156" s="26" t="str">
        <f>'施設状況(要更新)'!$E156&amp;'施設状況(要更新)'!$C156</f>
        <v>西区01保育所</v>
      </c>
      <c r="W156" s="26" t="str">
        <f>'施設状況(要更新)'!$F156</f>
        <v>吉田学園さくら保育園</v>
      </c>
      <c r="X156" s="27"/>
      <c r="Y156" s="26"/>
    </row>
    <row r="157" spans="1:33">
      <c r="A157" s="45">
        <v>700021</v>
      </c>
      <c r="B157" s="46" t="s">
        <v>277</v>
      </c>
      <c r="C157" s="46" t="s">
        <v>626</v>
      </c>
      <c r="D157" s="46" t="s">
        <v>1027</v>
      </c>
      <c r="E157" s="46" t="s">
        <v>384</v>
      </c>
      <c r="F157" s="46" t="s">
        <v>392</v>
      </c>
      <c r="G157" s="46"/>
      <c r="H157" s="46"/>
      <c r="I157" s="46"/>
      <c r="J157" s="46">
        <v>90</v>
      </c>
      <c r="K157" s="46">
        <v>0</v>
      </c>
      <c r="L157" s="46">
        <v>51</v>
      </c>
      <c r="M157" s="46">
        <v>9</v>
      </c>
      <c r="N157" s="46">
        <v>30</v>
      </c>
      <c r="O157" s="46">
        <f>SUM(テーブル1[[#This Row],[列11]:[列12]])</f>
        <v>39</v>
      </c>
      <c r="P157" s="46"/>
      <c r="Q157" s="46"/>
      <c r="R157" s="46">
        <f t="shared" si="11"/>
        <v>90</v>
      </c>
      <c r="S157" s="25">
        <f t="shared" si="12"/>
        <v>700021</v>
      </c>
      <c r="T157" s="25">
        <f>COUNTIF($V$4:V157,V157)</f>
        <v>8</v>
      </c>
      <c r="U157" s="25" t="str">
        <f>IF(T157=1,COUNTIF($T$4:T157,1),"")</f>
        <v/>
      </c>
      <c r="V157" s="26" t="str">
        <f>'施設状況(要更新)'!$E157&amp;'施設状況(要更新)'!$C157</f>
        <v>西区01保育所</v>
      </c>
      <c r="W157" s="26" t="str">
        <f>'施設状況(要更新)'!$F157</f>
        <v>発寒おおぞら保育園</v>
      </c>
      <c r="X157" s="27"/>
      <c r="Y157" s="26"/>
    </row>
    <row r="158" spans="1:33">
      <c r="A158" s="45">
        <v>700023</v>
      </c>
      <c r="B158" s="46" t="s">
        <v>277</v>
      </c>
      <c r="C158" s="46" t="s">
        <v>626</v>
      </c>
      <c r="D158" s="46" t="s">
        <v>1027</v>
      </c>
      <c r="E158" s="46" t="s">
        <v>384</v>
      </c>
      <c r="F158" s="46" t="s">
        <v>393</v>
      </c>
      <c r="G158" s="46"/>
      <c r="H158" s="46"/>
      <c r="I158" s="46"/>
      <c r="J158" s="46">
        <v>60</v>
      </c>
      <c r="K158" s="46">
        <v>0</v>
      </c>
      <c r="L158" s="46">
        <v>33</v>
      </c>
      <c r="M158" s="46">
        <v>5</v>
      </c>
      <c r="N158" s="46">
        <v>22</v>
      </c>
      <c r="O158" s="46">
        <f>SUM(テーブル1[[#This Row],[列11]:[列12]])</f>
        <v>27</v>
      </c>
      <c r="P158" s="46"/>
      <c r="Q158" s="46"/>
      <c r="R158" s="46">
        <f t="shared" si="11"/>
        <v>60</v>
      </c>
      <c r="S158" s="25">
        <f t="shared" si="12"/>
        <v>700023</v>
      </c>
      <c r="T158" s="25">
        <f>COUNTIF($V$4:V158,V158)</f>
        <v>9</v>
      </c>
      <c r="U158" s="25" t="str">
        <f>IF(T158=1,COUNTIF($T$4:T158,1),"")</f>
        <v/>
      </c>
      <c r="V158" s="26" t="str">
        <f>'施設状況(要更新)'!$E158&amp;'施設状況(要更新)'!$C158</f>
        <v>西区01保育所</v>
      </c>
      <c r="W158" s="26" t="str">
        <f>'施設状況(要更新)'!$F158</f>
        <v>アートチャイルドケア琴似</v>
      </c>
      <c r="X158" s="27"/>
      <c r="Y158" s="26"/>
    </row>
    <row r="159" spans="1:33">
      <c r="A159" s="45">
        <v>700026</v>
      </c>
      <c r="B159" s="46" t="s">
        <v>277</v>
      </c>
      <c r="C159" s="46" t="s">
        <v>626</v>
      </c>
      <c r="D159" s="46" t="s">
        <v>1027</v>
      </c>
      <c r="E159" s="46" t="s">
        <v>384</v>
      </c>
      <c r="F159" s="46" t="s">
        <v>394</v>
      </c>
      <c r="G159" s="46"/>
      <c r="H159" s="46"/>
      <c r="I159" s="46"/>
      <c r="J159" s="46">
        <v>60</v>
      </c>
      <c r="K159" s="46">
        <v>0</v>
      </c>
      <c r="L159" s="46">
        <v>33</v>
      </c>
      <c r="M159" s="46">
        <v>5</v>
      </c>
      <c r="N159" s="46">
        <v>22</v>
      </c>
      <c r="O159" s="46">
        <f>SUM(テーブル1[[#This Row],[列11]:[列12]])</f>
        <v>27</v>
      </c>
      <c r="P159" s="46"/>
      <c r="Q159" s="46"/>
      <c r="R159" s="46">
        <f t="shared" si="11"/>
        <v>60</v>
      </c>
      <c r="S159" s="25">
        <f t="shared" si="12"/>
        <v>700026</v>
      </c>
      <c r="T159" s="25">
        <f>COUNTIF($V$4:V159,V159)</f>
        <v>10</v>
      </c>
      <c r="U159" s="25" t="str">
        <f>IF(T159=1,COUNTIF($T$4:T159,1),"")</f>
        <v/>
      </c>
      <c r="V159" s="26" t="str">
        <f>'施設状況(要更新)'!$E159&amp;'施設状況(要更新)'!$C159</f>
        <v>西区01保育所</v>
      </c>
      <c r="W159" s="26" t="str">
        <f>'施設状況(要更新)'!$F159</f>
        <v>アートチャイルドケア札幌八軒</v>
      </c>
      <c r="X159" s="27"/>
      <c r="Y159" s="26"/>
    </row>
    <row r="160" spans="1:33">
      <c r="A160" s="45">
        <v>700043</v>
      </c>
      <c r="B160" s="46" t="s">
        <v>277</v>
      </c>
      <c r="C160" s="46" t="s">
        <v>626</v>
      </c>
      <c r="D160" s="46" t="s">
        <v>1027</v>
      </c>
      <c r="E160" s="46" t="s">
        <v>384</v>
      </c>
      <c r="F160" s="46" t="s">
        <v>395</v>
      </c>
      <c r="G160" s="46"/>
      <c r="H160" s="46"/>
      <c r="I160" s="46"/>
      <c r="J160" s="46">
        <v>90</v>
      </c>
      <c r="K160" s="46">
        <v>0</v>
      </c>
      <c r="L160" s="46">
        <v>50</v>
      </c>
      <c r="M160" s="46">
        <v>8</v>
      </c>
      <c r="N160" s="46">
        <v>32</v>
      </c>
      <c r="O160" s="46">
        <f>SUM(テーブル1[[#This Row],[列11]:[列12]])</f>
        <v>40</v>
      </c>
      <c r="P160" s="46"/>
      <c r="Q160" s="46"/>
      <c r="R160" s="46">
        <f t="shared" si="11"/>
        <v>90</v>
      </c>
      <c r="S160" s="25">
        <f t="shared" si="12"/>
        <v>700043</v>
      </c>
      <c r="T160" s="25">
        <f>COUNTIF($V$4:V160,V160)</f>
        <v>11</v>
      </c>
      <c r="U160" s="25" t="str">
        <f>IF(T160=1,COUNTIF($T$4:T160,1),"")</f>
        <v/>
      </c>
      <c r="V160" s="26" t="str">
        <f>'施設状況(要更新)'!$E160&amp;'施設状況(要更新)'!$C160</f>
        <v>西区01保育所</v>
      </c>
      <c r="W160" s="26" t="str">
        <f>'施設状況(要更新)'!$F160</f>
        <v>発寒そらいろ保育園</v>
      </c>
      <c r="X160" s="27"/>
      <c r="Y160" s="26"/>
    </row>
    <row r="161" spans="1:33">
      <c r="A161" s="45">
        <v>700044</v>
      </c>
      <c r="B161" s="46" t="s">
        <v>277</v>
      </c>
      <c r="C161" s="46" t="s">
        <v>626</v>
      </c>
      <c r="D161" s="46" t="s">
        <v>1027</v>
      </c>
      <c r="E161" s="46" t="s">
        <v>384</v>
      </c>
      <c r="F161" s="46" t="s">
        <v>396</v>
      </c>
      <c r="G161" s="46"/>
      <c r="H161" s="46"/>
      <c r="I161" s="46"/>
      <c r="J161" s="46">
        <v>60</v>
      </c>
      <c r="K161" s="46">
        <v>0</v>
      </c>
      <c r="L161" s="46">
        <v>33</v>
      </c>
      <c r="M161" s="46">
        <v>5</v>
      </c>
      <c r="N161" s="46">
        <v>22</v>
      </c>
      <c r="O161" s="46">
        <f>SUM(テーブル1[[#This Row],[列11]:[列12]])</f>
        <v>27</v>
      </c>
      <c r="P161" s="46"/>
      <c r="Q161" s="46"/>
      <c r="R161" s="46">
        <f t="shared" si="11"/>
        <v>60</v>
      </c>
      <c r="S161" s="25">
        <f t="shared" si="12"/>
        <v>700044</v>
      </c>
      <c r="T161" s="25">
        <f>COUNTIF($V$4:V161,V161)</f>
        <v>12</v>
      </c>
      <c r="U161" s="25" t="str">
        <f>IF(T161=1,COUNTIF($T$4:T161,1),"")</f>
        <v/>
      </c>
      <c r="V161" s="26" t="str">
        <f>'施設状況(要更新)'!$E161&amp;'施設状況(要更新)'!$C161</f>
        <v>西区01保育所</v>
      </c>
      <c r="W161" s="26" t="str">
        <f>'施設状況(要更新)'!$F161</f>
        <v>アートチャイルドケア札幌二十四軒</v>
      </c>
      <c r="X161" s="27"/>
      <c r="Y161" s="26"/>
    </row>
    <row r="162" spans="1:33">
      <c r="A162" s="45">
        <v>700045</v>
      </c>
      <c r="B162" s="46" t="s">
        <v>277</v>
      </c>
      <c r="C162" s="46" t="s">
        <v>626</v>
      </c>
      <c r="D162" s="46" t="s">
        <v>1027</v>
      </c>
      <c r="E162" s="46" t="s">
        <v>384</v>
      </c>
      <c r="F162" s="46" t="s">
        <v>397</v>
      </c>
      <c r="G162" s="46"/>
      <c r="H162" s="46"/>
      <c r="I162" s="46"/>
      <c r="J162" s="46">
        <v>90</v>
      </c>
      <c r="K162" s="46">
        <v>0</v>
      </c>
      <c r="L162" s="46">
        <v>50</v>
      </c>
      <c r="M162" s="46">
        <v>9</v>
      </c>
      <c r="N162" s="46">
        <v>31</v>
      </c>
      <c r="O162" s="46">
        <f>SUM(テーブル1[[#This Row],[列11]:[列12]])</f>
        <v>40</v>
      </c>
      <c r="P162" s="46"/>
      <c r="Q162" s="46"/>
      <c r="R162" s="46">
        <f t="shared" si="11"/>
        <v>90</v>
      </c>
      <c r="S162" s="25">
        <f t="shared" si="12"/>
        <v>700045</v>
      </c>
      <c r="T162" s="25">
        <f>COUNTIF($V$4:V162,V162)</f>
        <v>13</v>
      </c>
      <c r="U162" s="25" t="str">
        <f>IF(T162=1,COUNTIF($T$4:T162,1),"")</f>
        <v/>
      </c>
      <c r="V162" s="26" t="str">
        <f>'施設状況(要更新)'!$E162&amp;'施設状況(要更新)'!$C162</f>
        <v>西区01保育所</v>
      </c>
      <c r="W162" s="26" t="str">
        <f>'施設状況(要更新)'!$F162</f>
        <v>ことに保育園</v>
      </c>
      <c r="X162" s="27"/>
      <c r="Y162" s="26"/>
    </row>
    <row r="163" spans="1:33">
      <c r="A163" s="45">
        <v>700051</v>
      </c>
      <c r="B163" s="46" t="s">
        <v>277</v>
      </c>
      <c r="C163" s="46" t="s">
        <v>626</v>
      </c>
      <c r="D163" s="46" t="s">
        <v>1027</v>
      </c>
      <c r="E163" s="46" t="s">
        <v>384</v>
      </c>
      <c r="F163" s="46" t="s">
        <v>398</v>
      </c>
      <c r="G163" s="46"/>
      <c r="H163" s="46"/>
      <c r="I163" s="46"/>
      <c r="J163" s="46">
        <v>60</v>
      </c>
      <c r="K163" s="46">
        <v>0</v>
      </c>
      <c r="L163" s="46">
        <v>33</v>
      </c>
      <c r="M163" s="46">
        <v>6</v>
      </c>
      <c r="N163" s="46">
        <v>21</v>
      </c>
      <c r="O163" s="46">
        <f>SUM(テーブル1[[#This Row],[列11]:[列12]])</f>
        <v>27</v>
      </c>
      <c r="P163" s="46"/>
      <c r="Q163" s="46"/>
      <c r="R163" s="46">
        <f t="shared" si="11"/>
        <v>60</v>
      </c>
      <c r="S163" s="25">
        <f t="shared" si="12"/>
        <v>700051</v>
      </c>
      <c r="T163" s="25">
        <f>COUNTIF($V$4:V163,V163)</f>
        <v>14</v>
      </c>
      <c r="U163" s="25" t="str">
        <f>IF(T163=1,COUNTIF($T$4:T163,1),"")</f>
        <v/>
      </c>
      <c r="V163" s="26" t="str">
        <f>'施設状況(要更新)'!$E163&amp;'施設状況(要更新)'!$C163</f>
        <v>西区01保育所</v>
      </c>
      <c r="W163" s="26" t="str">
        <f>'施設状況(要更新)'!$F163</f>
        <v>西野ふれ愛保育園</v>
      </c>
      <c r="X163" s="27"/>
      <c r="Y163" s="26"/>
    </row>
    <row r="164" spans="1:33">
      <c r="A164" s="45">
        <v>700058</v>
      </c>
      <c r="B164" s="46" t="s">
        <v>277</v>
      </c>
      <c r="C164" s="46" t="s">
        <v>626</v>
      </c>
      <c r="D164" s="46" t="s">
        <v>1027</v>
      </c>
      <c r="E164" s="46" t="s">
        <v>384</v>
      </c>
      <c r="F164" s="46" t="s">
        <v>399</v>
      </c>
      <c r="G164" s="46"/>
      <c r="H164" s="46"/>
      <c r="I164" s="46"/>
      <c r="J164" s="46">
        <v>60</v>
      </c>
      <c r="K164" s="46">
        <v>0</v>
      </c>
      <c r="L164" s="46">
        <v>33</v>
      </c>
      <c r="M164" s="46">
        <v>6</v>
      </c>
      <c r="N164" s="46">
        <v>21</v>
      </c>
      <c r="O164" s="46">
        <f>SUM(テーブル1[[#This Row],[列11]:[列12]])</f>
        <v>27</v>
      </c>
      <c r="P164" s="46"/>
      <c r="Q164" s="46"/>
      <c r="R164" s="46">
        <f t="shared" si="11"/>
        <v>60</v>
      </c>
      <c r="S164" s="25">
        <f t="shared" si="12"/>
        <v>700058</v>
      </c>
      <c r="T164" s="25">
        <f>COUNTIF($V$4:V164,V164)</f>
        <v>15</v>
      </c>
      <c r="U164" s="25" t="str">
        <f>IF(T164=1,COUNTIF($T$4:T164,1),"")</f>
        <v/>
      </c>
      <c r="V164" s="26" t="str">
        <f>'施設状況(要更新)'!$E164&amp;'施設状況(要更新)'!$C164</f>
        <v>西区01保育所</v>
      </c>
      <c r="W164" s="26" t="str">
        <f>'施設状況(要更新)'!$F164</f>
        <v>札幌宮の沢雲母保育園</v>
      </c>
      <c r="X164" s="27"/>
      <c r="Y164" s="26"/>
    </row>
    <row r="165" spans="1:33">
      <c r="A165" s="45">
        <v>700066</v>
      </c>
      <c r="B165" s="46" t="s">
        <v>277</v>
      </c>
      <c r="C165" s="46" t="s">
        <v>626</v>
      </c>
      <c r="D165" s="46" t="s">
        <v>1027</v>
      </c>
      <c r="E165" s="46" t="s">
        <v>384</v>
      </c>
      <c r="F165" s="46" t="s">
        <v>400</v>
      </c>
      <c r="G165" s="46"/>
      <c r="H165" s="46"/>
      <c r="I165" s="46"/>
      <c r="J165" s="46">
        <v>30</v>
      </c>
      <c r="K165" s="46">
        <v>0</v>
      </c>
      <c r="L165" s="46">
        <v>18</v>
      </c>
      <c r="M165" s="46">
        <v>3</v>
      </c>
      <c r="N165" s="46">
        <v>9</v>
      </c>
      <c r="O165" s="46">
        <f>SUM(テーブル1[[#This Row],[列11]:[列12]])</f>
        <v>12</v>
      </c>
      <c r="P165" s="46"/>
      <c r="Q165" s="46"/>
      <c r="R165" s="46">
        <f t="shared" si="11"/>
        <v>30</v>
      </c>
      <c r="S165" s="25">
        <f t="shared" si="12"/>
        <v>700066</v>
      </c>
      <c r="T165" s="25">
        <f>COUNTIF($V$4:V165,V165)</f>
        <v>16</v>
      </c>
      <c r="U165" s="25" t="str">
        <f>IF(T165=1,COUNTIF($T$4:T165,1),"")</f>
        <v/>
      </c>
      <c r="V165" s="26" t="str">
        <f>'施設状況(要更新)'!$E165&amp;'施設状況(要更新)'!$C165</f>
        <v>西区01保育所</v>
      </c>
      <c r="W165" s="26" t="str">
        <f>'施設状況(要更新)'!$F165</f>
        <v>発寒もりのわ保育園</v>
      </c>
      <c r="X165" s="27"/>
      <c r="Y165" s="26"/>
    </row>
    <row r="166" spans="1:33">
      <c r="A166" s="45">
        <v>700070</v>
      </c>
      <c r="B166" s="46" t="s">
        <v>277</v>
      </c>
      <c r="C166" s="46" t="s">
        <v>626</v>
      </c>
      <c r="D166" s="46" t="s">
        <v>1027</v>
      </c>
      <c r="E166" s="46" t="s">
        <v>384</v>
      </c>
      <c r="F166" s="46" t="s">
        <v>1063</v>
      </c>
      <c r="G166" s="46"/>
      <c r="H166" s="46"/>
      <c r="I166" s="46"/>
      <c r="J166" s="46">
        <v>40</v>
      </c>
      <c r="K166" s="46">
        <v>0</v>
      </c>
      <c r="L166" s="46">
        <v>22</v>
      </c>
      <c r="M166" s="46">
        <v>4</v>
      </c>
      <c r="N166" s="46">
        <v>14</v>
      </c>
      <c r="O166" s="46">
        <f>SUM(テーブル1[[#This Row],[列11]:[列12]])</f>
        <v>18</v>
      </c>
      <c r="P166" s="46"/>
      <c r="Q166" s="46"/>
      <c r="R166" s="46">
        <f t="shared" si="11"/>
        <v>40</v>
      </c>
      <c r="S166" s="25">
        <f t="shared" si="12"/>
        <v>700070</v>
      </c>
      <c r="T166" s="25">
        <f>COUNTIF($V$4:V166,V166)</f>
        <v>17</v>
      </c>
      <c r="U166" s="25" t="str">
        <f>IF(T166=1,COUNTIF($T$4:T166,1),"")</f>
        <v/>
      </c>
      <c r="V166" s="26" t="str">
        <f>'施設状況(要更新)'!$E166&amp;'施設状況(要更新)'!$C166</f>
        <v>西区01保育所</v>
      </c>
      <c r="W166" s="26" t="str">
        <f>'施設状況(要更新)'!$F166</f>
        <v>琴似にじのいろ保育園</v>
      </c>
      <c r="X166" s="27"/>
      <c r="Y166" s="26"/>
    </row>
    <row r="167" spans="1:33">
      <c r="A167" s="45">
        <v>700072</v>
      </c>
      <c r="B167" s="46" t="s">
        <v>277</v>
      </c>
      <c r="C167" s="46" t="s">
        <v>626</v>
      </c>
      <c r="D167" s="46" t="s">
        <v>1027</v>
      </c>
      <c r="E167" s="46" t="s">
        <v>384</v>
      </c>
      <c r="F167" s="46" t="s">
        <v>1064</v>
      </c>
      <c r="G167" s="46"/>
      <c r="H167" s="46"/>
      <c r="I167" s="46"/>
      <c r="J167" s="46">
        <v>50</v>
      </c>
      <c r="K167" s="46">
        <v>0</v>
      </c>
      <c r="L167" s="46">
        <v>27</v>
      </c>
      <c r="M167" s="46">
        <v>5</v>
      </c>
      <c r="N167" s="46">
        <v>18</v>
      </c>
      <c r="O167" s="46">
        <f>SUM(テーブル1[[#This Row],[列11]:[列12]])</f>
        <v>23</v>
      </c>
      <c r="P167" s="46"/>
      <c r="Q167" s="46"/>
      <c r="R167" s="46">
        <f t="shared" si="11"/>
        <v>50</v>
      </c>
      <c r="S167" s="25">
        <f t="shared" si="12"/>
        <v>700072</v>
      </c>
      <c r="T167" s="25">
        <f>COUNTIF($V$4:V167,V167)</f>
        <v>18</v>
      </c>
      <c r="U167" s="25" t="str">
        <f>IF(T167=1,COUNTIF($T$4:T167,1),"")</f>
        <v/>
      </c>
      <c r="V167" s="26" t="str">
        <f>'施設状況(要更新)'!$E167&amp;'施設状況(要更新)'!$C167</f>
        <v>西区01保育所</v>
      </c>
      <c r="W167" s="26" t="str">
        <f>'施設状況(要更新)'!$F167</f>
        <v>ピッコロ子ども倶楽部発寒南駅前園</v>
      </c>
      <c r="X167" s="27"/>
      <c r="Y167" s="26"/>
    </row>
    <row r="168" spans="1:33">
      <c r="A168" s="45">
        <v>700076</v>
      </c>
      <c r="B168" s="46" t="s">
        <v>277</v>
      </c>
      <c r="C168" s="46" t="s">
        <v>626</v>
      </c>
      <c r="D168" s="46" t="s">
        <v>1027</v>
      </c>
      <c r="E168" s="46" t="s">
        <v>384</v>
      </c>
      <c r="F168" s="46" t="s">
        <v>1065</v>
      </c>
      <c r="G168" s="46"/>
      <c r="H168" s="46"/>
      <c r="I168" s="46"/>
      <c r="J168" s="46">
        <v>40</v>
      </c>
      <c r="K168" s="46">
        <v>0</v>
      </c>
      <c r="L168" s="46">
        <v>24</v>
      </c>
      <c r="M168" s="46">
        <v>2</v>
      </c>
      <c r="N168" s="46">
        <v>14</v>
      </c>
      <c r="O168" s="46">
        <f>SUM(テーブル1[[#This Row],[列11]:[列12]])</f>
        <v>16</v>
      </c>
      <c r="P168" s="46"/>
      <c r="Q168" s="46"/>
      <c r="R168" s="46">
        <f t="shared" si="11"/>
        <v>40</v>
      </c>
      <c r="S168" s="25">
        <f t="shared" si="12"/>
        <v>700076</v>
      </c>
      <c r="T168" s="25">
        <f>COUNTIF($V$4:V168,V168)</f>
        <v>19</v>
      </c>
      <c r="U168" s="25" t="str">
        <f>IF(T168=1,COUNTIF($T$4:T168,1),"")</f>
        <v/>
      </c>
      <c r="V168" s="26" t="str">
        <f>'施設状況(要更新)'!$E168&amp;'施設状況(要更新)'!$C168</f>
        <v>西区01保育所</v>
      </c>
      <c r="W168" s="26" t="str">
        <f>'施設状況(要更新)'!$F168</f>
        <v>山の手にじのいろ保育園</v>
      </c>
      <c r="X168" s="27"/>
      <c r="Y168" s="26"/>
      <c r="Z168" s="26"/>
      <c r="AA168" s="26"/>
      <c r="AB168" s="26"/>
      <c r="AC168" s="26"/>
      <c r="AD168" s="26"/>
      <c r="AE168" s="26"/>
      <c r="AF168" s="26"/>
      <c r="AG168" s="26"/>
    </row>
    <row r="169" spans="1:33">
      <c r="A169" s="45">
        <v>700077</v>
      </c>
      <c r="B169" s="46" t="s">
        <v>277</v>
      </c>
      <c r="C169" s="46" t="s">
        <v>626</v>
      </c>
      <c r="D169" s="46" t="s">
        <v>1027</v>
      </c>
      <c r="E169" s="46" t="s">
        <v>384</v>
      </c>
      <c r="F169" s="46" t="s">
        <v>1066</v>
      </c>
      <c r="G169" s="46"/>
      <c r="H169" s="46"/>
      <c r="I169" s="46"/>
      <c r="J169" s="46">
        <v>90</v>
      </c>
      <c r="K169" s="46">
        <v>0</v>
      </c>
      <c r="L169" s="46">
        <v>51</v>
      </c>
      <c r="M169" s="46">
        <v>5</v>
      </c>
      <c r="N169" s="46">
        <v>34</v>
      </c>
      <c r="O169" s="46">
        <f>SUM(テーブル1[[#This Row],[列11]:[列12]])</f>
        <v>39</v>
      </c>
      <c r="P169" s="46"/>
      <c r="Q169" s="46"/>
      <c r="R169" s="46">
        <f t="shared" si="11"/>
        <v>90</v>
      </c>
      <c r="S169" s="25">
        <f t="shared" si="12"/>
        <v>700077</v>
      </c>
      <c r="T169" s="25">
        <f>COUNTIF($V$4:V169,V169)</f>
        <v>20</v>
      </c>
      <c r="U169" s="25" t="str">
        <f>IF(T169=1,COUNTIF($T$4:T169,1),"")</f>
        <v/>
      </c>
      <c r="V169" s="26" t="str">
        <f>'施設状況(要更新)'!$E169&amp;'施設状況(要更新)'!$C169</f>
        <v>西区01保育所</v>
      </c>
      <c r="W169" s="26" t="str">
        <f>'施設状況(要更新)'!$F169</f>
        <v>山の手あすみ保育園</v>
      </c>
      <c r="X169" s="27"/>
      <c r="Y169" s="26"/>
    </row>
    <row r="170" spans="1:33">
      <c r="A170" s="45">
        <v>700087</v>
      </c>
      <c r="B170" s="46" t="s">
        <v>277</v>
      </c>
      <c r="C170" s="46" t="s">
        <v>626</v>
      </c>
      <c r="D170" s="46" t="s">
        <v>1027</v>
      </c>
      <c r="E170" s="46" t="s">
        <v>384</v>
      </c>
      <c r="F170" s="46" t="s">
        <v>1067</v>
      </c>
      <c r="G170" s="46"/>
      <c r="H170" s="46"/>
      <c r="I170" s="46"/>
      <c r="J170" s="46">
        <v>90</v>
      </c>
      <c r="K170" s="46">
        <v>0</v>
      </c>
      <c r="L170" s="46">
        <v>51</v>
      </c>
      <c r="M170" s="46">
        <v>5</v>
      </c>
      <c r="N170" s="46">
        <v>34</v>
      </c>
      <c r="O170" s="46">
        <f>SUM(テーブル1[[#This Row],[列11]:[列12]])</f>
        <v>39</v>
      </c>
      <c r="P170" s="46"/>
      <c r="Q170" s="46"/>
      <c r="R170" s="46">
        <f t="shared" si="11"/>
        <v>90</v>
      </c>
      <c r="S170" s="25">
        <f t="shared" si="12"/>
        <v>700087</v>
      </c>
      <c r="T170" s="25">
        <f>COUNTIF($V$4:V170,V170)</f>
        <v>21</v>
      </c>
      <c r="U170" s="25" t="str">
        <f>IF(T170=1,COUNTIF($T$4:T170,1),"")</f>
        <v/>
      </c>
      <c r="V170" s="26" t="str">
        <f>'施設状況(要更新)'!$E170&amp;'施設状況(要更新)'!$C170</f>
        <v>西区01保育所</v>
      </c>
      <c r="W170" s="26" t="str">
        <f>'施設状況(要更新)'!$F170</f>
        <v>平和あすみ保育園</v>
      </c>
      <c r="X170" s="27"/>
      <c r="Y170" s="26"/>
    </row>
    <row r="171" spans="1:33">
      <c r="A171" s="45">
        <v>700088</v>
      </c>
      <c r="B171" s="46" t="s">
        <v>277</v>
      </c>
      <c r="C171" s="46" t="s">
        <v>626</v>
      </c>
      <c r="D171" s="46" t="s">
        <v>1027</v>
      </c>
      <c r="E171" s="46" t="s">
        <v>384</v>
      </c>
      <c r="F171" s="46" t="s">
        <v>1068</v>
      </c>
      <c r="G171" s="46"/>
      <c r="H171" s="46"/>
      <c r="I171" s="46"/>
      <c r="J171" s="46">
        <v>60</v>
      </c>
      <c r="K171" s="46">
        <v>0</v>
      </c>
      <c r="L171" s="46">
        <v>35</v>
      </c>
      <c r="M171" s="46">
        <v>3</v>
      </c>
      <c r="N171" s="46">
        <v>22</v>
      </c>
      <c r="O171" s="46">
        <f>SUM(テーブル1[[#This Row],[列11]:[列12]])</f>
        <v>25</v>
      </c>
      <c r="P171" s="46"/>
      <c r="Q171" s="46"/>
      <c r="R171" s="46">
        <f t="shared" si="11"/>
        <v>60</v>
      </c>
      <c r="S171" s="25">
        <f t="shared" si="12"/>
        <v>700088</v>
      </c>
      <c r="T171" s="25">
        <f>COUNTIF($V$4:V171,V171)</f>
        <v>22</v>
      </c>
      <c r="U171" s="25" t="str">
        <f>IF(T171=1,COUNTIF($T$4:T171,1),"")</f>
        <v/>
      </c>
      <c r="V171" s="26" t="str">
        <f>'施設状況(要更新)'!$E171&amp;'施設状況(要更新)'!$C171</f>
        <v>西区01保育所</v>
      </c>
      <c r="W171" s="26" t="str">
        <f>'施設状況(要更新)'!$F171</f>
        <v>平和にじのいろ保育園</v>
      </c>
      <c r="X171" s="27"/>
      <c r="Y171" s="26"/>
    </row>
    <row r="172" spans="1:33">
      <c r="A172" s="45">
        <v>700089</v>
      </c>
      <c r="B172" s="46" t="s">
        <v>277</v>
      </c>
      <c r="C172" s="46" t="s">
        <v>626</v>
      </c>
      <c r="D172" s="46" t="s">
        <v>1027</v>
      </c>
      <c r="E172" s="46" t="s">
        <v>384</v>
      </c>
      <c r="F172" s="46" t="s">
        <v>1069</v>
      </c>
      <c r="G172" s="46"/>
      <c r="H172" s="46"/>
      <c r="I172" s="46"/>
      <c r="J172" s="46">
        <v>40</v>
      </c>
      <c r="K172" s="46">
        <v>0</v>
      </c>
      <c r="L172" s="46">
        <v>24</v>
      </c>
      <c r="M172" s="46">
        <v>2</v>
      </c>
      <c r="N172" s="46">
        <v>14</v>
      </c>
      <c r="O172" s="46">
        <f>SUM(テーブル1[[#This Row],[列11]:[列12]])</f>
        <v>16</v>
      </c>
      <c r="P172" s="46"/>
      <c r="Q172" s="46"/>
      <c r="R172" s="46">
        <f t="shared" si="11"/>
        <v>40</v>
      </c>
      <c r="S172" s="25">
        <f t="shared" si="12"/>
        <v>700089</v>
      </c>
      <c r="T172" s="25">
        <f>COUNTIF($V$4:V172,V172)</f>
        <v>23</v>
      </c>
      <c r="U172" s="25" t="str">
        <f>IF(T172=1,COUNTIF($T$4:T172,1),"")</f>
        <v/>
      </c>
      <c r="V172" s="26" t="str">
        <f>'施設状況(要更新)'!$E172&amp;'施設状況(要更新)'!$C172</f>
        <v>西区01保育所</v>
      </c>
      <c r="W172" s="26" t="str">
        <f>'施設状況(要更新)'!$F172</f>
        <v>ちゅうわ発寒保育園</v>
      </c>
      <c r="X172" s="27"/>
      <c r="Y172" s="26"/>
    </row>
    <row r="173" spans="1:33">
      <c r="A173" s="45">
        <v>700093</v>
      </c>
      <c r="B173" s="46" t="s">
        <v>277</v>
      </c>
      <c r="C173" s="46" t="s">
        <v>626</v>
      </c>
      <c r="D173" s="46" t="s">
        <v>1027</v>
      </c>
      <c r="E173" s="46" t="s">
        <v>384</v>
      </c>
      <c r="F173" s="46" t="s">
        <v>1246</v>
      </c>
      <c r="G173" s="46"/>
      <c r="H173" s="46"/>
      <c r="I173" s="46"/>
      <c r="J173" s="46">
        <v>90</v>
      </c>
      <c r="K173" s="46">
        <v>0</v>
      </c>
      <c r="L173" s="46">
        <v>51</v>
      </c>
      <c r="M173" s="46">
        <v>5</v>
      </c>
      <c r="N173" s="46">
        <v>34</v>
      </c>
      <c r="O173" s="46">
        <f>SUM(テーブル1[[#This Row],[列11]:[列12]])</f>
        <v>39</v>
      </c>
      <c r="P173" s="46"/>
      <c r="Q173" s="46"/>
      <c r="R173" s="46">
        <f t="shared" si="11"/>
        <v>90</v>
      </c>
      <c r="S173" s="25">
        <f t="shared" si="12"/>
        <v>700093</v>
      </c>
      <c r="T173" s="25">
        <f>COUNTIF($V$4:V173,V173)</f>
        <v>24</v>
      </c>
      <c r="U173" s="25" t="str">
        <f>IF(T173=1,COUNTIF($T$4:T173,1),"")</f>
        <v/>
      </c>
      <c r="V173" s="26" t="str">
        <f>'施設状況(要更新)'!$E173&amp;'施設状況(要更新)'!$C173</f>
        <v>西区01保育所</v>
      </c>
      <c r="W173" s="26" t="str">
        <f>'施設状況(要更新)'!$F173</f>
        <v>ピッコロ子ども倶楽部
福井保育園</v>
      </c>
      <c r="X173" s="27"/>
      <c r="Y173" s="26"/>
    </row>
    <row r="174" spans="1:33">
      <c r="A174" s="45">
        <v>700094</v>
      </c>
      <c r="B174" s="46" t="s">
        <v>277</v>
      </c>
      <c r="C174" s="46" t="s">
        <v>626</v>
      </c>
      <c r="D174" s="46" t="s">
        <v>1027</v>
      </c>
      <c r="E174" s="46" t="s">
        <v>384</v>
      </c>
      <c r="F174" s="46" t="s">
        <v>1228</v>
      </c>
      <c r="G174" s="46"/>
      <c r="H174" s="46"/>
      <c r="I174" s="46"/>
      <c r="J174" s="46">
        <v>40</v>
      </c>
      <c r="K174" s="46">
        <v>0</v>
      </c>
      <c r="L174" s="46">
        <v>24</v>
      </c>
      <c r="M174" s="46">
        <v>2</v>
      </c>
      <c r="N174" s="46">
        <v>14</v>
      </c>
      <c r="O174" s="46">
        <f>SUM(テーブル1[[#This Row],[列11]:[列12]])</f>
        <v>16</v>
      </c>
      <c r="P174" s="46"/>
      <c r="Q174" s="46"/>
      <c r="R174" s="46">
        <f t="shared" si="11"/>
        <v>40</v>
      </c>
      <c r="S174" s="25">
        <f t="shared" si="12"/>
        <v>700094</v>
      </c>
      <c r="T174" s="25">
        <f>COUNTIF($V$4:V174,V174)</f>
        <v>25</v>
      </c>
      <c r="U174" s="25" t="str">
        <f>IF(T174=1,COUNTIF($T$4:T174,1),"")</f>
        <v/>
      </c>
      <c r="V174" s="26" t="str">
        <f>'施設状況(要更新)'!$E174&amp;'施設状況(要更新)'!$C174</f>
        <v>西区01保育所</v>
      </c>
      <c r="W174" s="26" t="str">
        <f>'施設状況(要更新)'!$F174</f>
        <v>ラブクローバーの保育園札幌西野</v>
      </c>
      <c r="X174" s="27"/>
      <c r="Y174" s="26"/>
    </row>
    <row r="175" spans="1:33">
      <c r="A175" s="45">
        <v>750004</v>
      </c>
      <c r="B175" s="46" t="s">
        <v>277</v>
      </c>
      <c r="C175" s="46" t="s">
        <v>626</v>
      </c>
      <c r="D175" s="46" t="s">
        <v>1027</v>
      </c>
      <c r="E175" s="46" t="s">
        <v>401</v>
      </c>
      <c r="F175" s="46" t="s">
        <v>402</v>
      </c>
      <c r="G175" s="46"/>
      <c r="H175" s="46"/>
      <c r="I175" s="46"/>
      <c r="J175" s="46">
        <v>90</v>
      </c>
      <c r="K175" s="46">
        <v>0</v>
      </c>
      <c r="L175" s="46">
        <v>52</v>
      </c>
      <c r="M175" s="46">
        <v>9</v>
      </c>
      <c r="N175" s="46">
        <v>29</v>
      </c>
      <c r="O175" s="46">
        <f>SUM(テーブル1[[#This Row],[列11]:[列12]])</f>
        <v>38</v>
      </c>
      <c r="P175" s="46"/>
      <c r="Q175" s="46"/>
      <c r="R175" s="46">
        <f t="shared" si="11"/>
        <v>90</v>
      </c>
      <c r="S175" s="25">
        <f t="shared" si="12"/>
        <v>750004</v>
      </c>
      <c r="T175" s="25">
        <f>COUNTIF($V$4:V175,V175)</f>
        <v>1</v>
      </c>
      <c r="U175" s="25">
        <f>IF(T175=1,COUNTIF($T$4:T175,1),"")</f>
        <v>10</v>
      </c>
      <c r="V175" s="26" t="str">
        <f>'施設状況(要更新)'!$E175&amp;'施設状況(要更新)'!$C175</f>
        <v>手稲区01保育所</v>
      </c>
      <c r="W175" s="26" t="str">
        <f>'施設状況(要更新)'!$F175</f>
        <v>新発寒たんぽぽ保育園</v>
      </c>
      <c r="X175" s="27"/>
      <c r="Y175" s="26"/>
    </row>
    <row r="176" spans="1:33">
      <c r="A176" s="45">
        <v>750005</v>
      </c>
      <c r="B176" s="46" t="s">
        <v>277</v>
      </c>
      <c r="C176" s="46" t="s">
        <v>626</v>
      </c>
      <c r="D176" s="46" t="s">
        <v>1027</v>
      </c>
      <c r="E176" s="46" t="s">
        <v>401</v>
      </c>
      <c r="F176" s="46" t="s">
        <v>403</v>
      </c>
      <c r="G176" s="46"/>
      <c r="H176" s="46"/>
      <c r="I176" s="46"/>
      <c r="J176" s="46">
        <v>120</v>
      </c>
      <c r="K176" s="46">
        <v>0</v>
      </c>
      <c r="L176" s="46">
        <v>66</v>
      </c>
      <c r="M176" s="46">
        <v>6</v>
      </c>
      <c r="N176" s="46">
        <v>38</v>
      </c>
      <c r="O176" s="46">
        <f>SUM(テーブル1[[#This Row],[列11]:[列12]])</f>
        <v>44</v>
      </c>
      <c r="P176" s="46"/>
      <c r="Q176" s="46"/>
      <c r="R176" s="46">
        <f t="shared" si="11"/>
        <v>110</v>
      </c>
      <c r="S176" s="25">
        <f t="shared" si="12"/>
        <v>750005</v>
      </c>
      <c r="T176" s="25">
        <f>COUNTIF($V$4:V176,V176)</f>
        <v>2</v>
      </c>
      <c r="U176" s="25" t="str">
        <f>IF(T176=1,COUNTIF($T$4:T176,1),"")</f>
        <v/>
      </c>
      <c r="V176" s="26" t="str">
        <f>'施設状況(要更新)'!$E176&amp;'施設状況(要更新)'!$C176</f>
        <v>手稲区01保育所</v>
      </c>
      <c r="W176" s="26" t="str">
        <f>'施設状況(要更新)'!$F176</f>
        <v>宮の沢さくら保育園</v>
      </c>
      <c r="X176" s="27"/>
      <c r="Y176" s="26"/>
    </row>
    <row r="177" spans="1:25">
      <c r="A177" s="45">
        <v>750009</v>
      </c>
      <c r="B177" s="46" t="s">
        <v>277</v>
      </c>
      <c r="C177" s="46" t="s">
        <v>626</v>
      </c>
      <c r="D177" s="46" t="s">
        <v>1027</v>
      </c>
      <c r="E177" s="46" t="s">
        <v>401</v>
      </c>
      <c r="F177" s="46" t="s">
        <v>404</v>
      </c>
      <c r="G177" s="46"/>
      <c r="H177" s="46"/>
      <c r="I177" s="46"/>
      <c r="J177" s="46">
        <v>100</v>
      </c>
      <c r="K177" s="46">
        <v>0</v>
      </c>
      <c r="L177" s="46">
        <v>48</v>
      </c>
      <c r="M177" s="46">
        <v>6</v>
      </c>
      <c r="N177" s="46">
        <v>26</v>
      </c>
      <c r="O177" s="46">
        <f>SUM(テーブル1[[#This Row],[列11]:[列12]])</f>
        <v>32</v>
      </c>
      <c r="P177" s="46"/>
      <c r="Q177" s="46"/>
      <c r="R177" s="46">
        <f t="shared" si="11"/>
        <v>80</v>
      </c>
      <c r="S177" s="25">
        <f t="shared" si="12"/>
        <v>750009</v>
      </c>
      <c r="T177" s="25">
        <f>COUNTIF($V$4:V177,V177)</f>
        <v>3</v>
      </c>
      <c r="U177" s="25" t="str">
        <f>IF(T177=1,COUNTIF($T$4:T177,1),"")</f>
        <v/>
      </c>
      <c r="V177" s="26" t="str">
        <f>'施設状況(要更新)'!$E177&amp;'施設状況(要更新)'!$C177</f>
        <v>手稲区01保育所</v>
      </c>
      <c r="W177" s="26" t="str">
        <f>'施設状況(要更新)'!$F177</f>
        <v>さより第２保育園</v>
      </c>
      <c r="X177" s="27"/>
      <c r="Y177" s="26"/>
    </row>
    <row r="178" spans="1:25">
      <c r="A178" s="45">
        <v>750013</v>
      </c>
      <c r="B178" s="46" t="s">
        <v>277</v>
      </c>
      <c r="C178" s="46" t="s">
        <v>626</v>
      </c>
      <c r="D178" s="46" t="s">
        <v>1027</v>
      </c>
      <c r="E178" s="46" t="s">
        <v>401</v>
      </c>
      <c r="F178" s="46" t="s">
        <v>405</v>
      </c>
      <c r="G178" s="46"/>
      <c r="H178" s="46"/>
      <c r="I178" s="46"/>
      <c r="J178" s="46">
        <v>80</v>
      </c>
      <c r="K178" s="46">
        <v>0</v>
      </c>
      <c r="L178" s="46">
        <v>41</v>
      </c>
      <c r="M178" s="46">
        <v>13</v>
      </c>
      <c r="N178" s="46">
        <v>26</v>
      </c>
      <c r="O178" s="46">
        <f>SUM(テーブル1[[#This Row],[列11]:[列12]])</f>
        <v>39</v>
      </c>
      <c r="P178" s="46">
        <v>20</v>
      </c>
      <c r="Q178" s="46"/>
      <c r="R178" s="46">
        <f t="shared" si="11"/>
        <v>80</v>
      </c>
      <c r="S178" s="25">
        <f t="shared" si="12"/>
        <v>750013</v>
      </c>
      <c r="T178" s="25">
        <f>COUNTIF($V$4:V178,V178)</f>
        <v>4</v>
      </c>
      <c r="U178" s="25" t="str">
        <f>IF(T178=1,COUNTIF($T$4:T178,1),"")</f>
        <v/>
      </c>
      <c r="V178" s="26" t="str">
        <f>'施設状況(要更新)'!$E178&amp;'施設状況(要更新)'!$C178</f>
        <v>手稲区01保育所</v>
      </c>
      <c r="W178" s="26" t="str">
        <f>'施設状況(要更新)'!$F178</f>
        <v>つくし保育園</v>
      </c>
      <c r="X178" s="27"/>
      <c r="Y178" s="26"/>
    </row>
    <row r="179" spans="1:25">
      <c r="A179" s="45">
        <v>750014</v>
      </c>
      <c r="B179" s="46" t="s">
        <v>277</v>
      </c>
      <c r="C179" s="46" t="s">
        <v>626</v>
      </c>
      <c r="D179" s="46" t="s">
        <v>1027</v>
      </c>
      <c r="E179" s="46" t="s">
        <v>401</v>
      </c>
      <c r="F179" s="46" t="s">
        <v>406</v>
      </c>
      <c r="G179" s="46"/>
      <c r="H179" s="46"/>
      <c r="I179" s="46"/>
      <c r="J179" s="46">
        <v>100</v>
      </c>
      <c r="K179" s="46">
        <v>0</v>
      </c>
      <c r="L179" s="46">
        <v>55</v>
      </c>
      <c r="M179" s="46">
        <v>6</v>
      </c>
      <c r="N179" s="46">
        <v>29</v>
      </c>
      <c r="O179" s="46">
        <f>SUM(テーブル1[[#This Row],[列11]:[列12]])</f>
        <v>35</v>
      </c>
      <c r="P179" s="46"/>
      <c r="Q179" s="46"/>
      <c r="R179" s="46">
        <f t="shared" si="11"/>
        <v>90</v>
      </c>
      <c r="S179" s="25">
        <f t="shared" si="12"/>
        <v>750014</v>
      </c>
      <c r="T179" s="25">
        <f>COUNTIF($V$4:V179,V179)</f>
        <v>5</v>
      </c>
      <c r="U179" s="25" t="str">
        <f>IF(T179=1,COUNTIF($T$4:T179,1),"")</f>
        <v/>
      </c>
      <c r="V179" s="26" t="str">
        <f>'施設状況(要更新)'!$E179&amp;'施設状況(要更新)'!$C179</f>
        <v>手稲区01保育所</v>
      </c>
      <c r="W179" s="26" t="str">
        <f>'施設状況(要更新)'!$F179</f>
        <v>札幌北陽保育園</v>
      </c>
      <c r="X179" s="27"/>
      <c r="Y179" s="26"/>
    </row>
    <row r="180" spans="1:25">
      <c r="A180" s="45">
        <v>750016</v>
      </c>
      <c r="B180" s="46" t="s">
        <v>277</v>
      </c>
      <c r="C180" s="46" t="s">
        <v>626</v>
      </c>
      <c r="D180" s="46" t="s">
        <v>1027</v>
      </c>
      <c r="E180" s="46" t="s">
        <v>401</v>
      </c>
      <c r="F180" s="46" t="s">
        <v>407</v>
      </c>
      <c r="G180" s="46"/>
      <c r="H180" s="46"/>
      <c r="I180" s="46"/>
      <c r="J180" s="46">
        <v>60</v>
      </c>
      <c r="K180" s="46">
        <v>0</v>
      </c>
      <c r="L180" s="46">
        <v>33</v>
      </c>
      <c r="M180" s="46">
        <v>6</v>
      </c>
      <c r="N180" s="46">
        <v>21</v>
      </c>
      <c r="O180" s="46">
        <f>SUM(テーブル1[[#This Row],[列11]:[列12]])</f>
        <v>27</v>
      </c>
      <c r="P180" s="46"/>
      <c r="Q180" s="46"/>
      <c r="R180" s="46">
        <f t="shared" si="11"/>
        <v>60</v>
      </c>
      <c r="S180" s="25">
        <f t="shared" si="12"/>
        <v>750016</v>
      </c>
      <c r="T180" s="25">
        <f>COUNTIF($V$4:V180,V180)</f>
        <v>6</v>
      </c>
      <c r="U180" s="25" t="str">
        <f>IF(T180=1,COUNTIF($T$4:T180,1),"")</f>
        <v/>
      </c>
      <c r="V180" s="26" t="str">
        <f>'施設状況(要更新)'!$E180&amp;'施設状況(要更新)'!$C180</f>
        <v>手稲区01保育所</v>
      </c>
      <c r="W180" s="26" t="str">
        <f>'施設状況(要更新)'!$F180</f>
        <v>あすかぜ保育園</v>
      </c>
      <c r="X180" s="27"/>
      <c r="Y180" s="26"/>
    </row>
    <row r="181" spans="1:25">
      <c r="A181" s="45">
        <v>750034</v>
      </c>
      <c r="B181" s="46" t="s">
        <v>277</v>
      </c>
      <c r="C181" s="46" t="s">
        <v>626</v>
      </c>
      <c r="D181" s="46" t="s">
        <v>1027</v>
      </c>
      <c r="E181" s="46" t="s">
        <v>401</v>
      </c>
      <c r="F181" s="46" t="s">
        <v>1070</v>
      </c>
      <c r="G181" s="46"/>
      <c r="H181" s="46"/>
      <c r="I181" s="46"/>
      <c r="J181" s="46">
        <v>35</v>
      </c>
      <c r="K181" s="46">
        <v>0</v>
      </c>
      <c r="L181" s="46">
        <v>19</v>
      </c>
      <c r="M181" s="46">
        <v>4</v>
      </c>
      <c r="N181" s="46">
        <v>12</v>
      </c>
      <c r="O181" s="46">
        <f>SUM(テーブル1[[#This Row],[列11]:[列12]])</f>
        <v>16</v>
      </c>
      <c r="P181" s="46"/>
      <c r="Q181" s="46"/>
      <c r="R181" s="46">
        <f t="shared" si="11"/>
        <v>35</v>
      </c>
      <c r="S181" s="25">
        <f t="shared" si="12"/>
        <v>750034</v>
      </c>
      <c r="T181" s="25">
        <f>COUNTIF($V$4:V181,V181)</f>
        <v>7</v>
      </c>
      <c r="U181" s="25" t="str">
        <f>IF(T181=1,COUNTIF($T$4:T181,1),"")</f>
        <v/>
      </c>
      <c r="V181" s="26" t="str">
        <f>'施設状況(要更新)'!$E181&amp;'施設状況(要更新)'!$C181</f>
        <v>手稲区01保育所</v>
      </c>
      <c r="W181" s="26" t="str">
        <f>'施設状況(要更新)'!$F181</f>
        <v>手稲桃の花保育園</v>
      </c>
      <c r="X181" s="27"/>
      <c r="Y181" s="26"/>
    </row>
    <row r="182" spans="1:25">
      <c r="A182" s="45">
        <v>750043</v>
      </c>
      <c r="B182" s="46" t="s">
        <v>277</v>
      </c>
      <c r="C182" s="46" t="s">
        <v>626</v>
      </c>
      <c r="D182" s="46" t="s">
        <v>1027</v>
      </c>
      <c r="E182" s="46" t="s">
        <v>401</v>
      </c>
      <c r="F182" s="46" t="s">
        <v>1071</v>
      </c>
      <c r="G182" s="46"/>
      <c r="H182" s="46"/>
      <c r="I182" s="46"/>
      <c r="J182" s="46">
        <v>40</v>
      </c>
      <c r="K182" s="46">
        <v>0</v>
      </c>
      <c r="L182" s="46">
        <v>24</v>
      </c>
      <c r="M182" s="46">
        <v>2</v>
      </c>
      <c r="N182" s="46">
        <v>14</v>
      </c>
      <c r="O182" s="46">
        <f>SUM(テーブル1[[#This Row],[列11]:[列12]])</f>
        <v>16</v>
      </c>
      <c r="P182" s="46"/>
      <c r="Q182" s="46"/>
      <c r="R182" s="46">
        <f t="shared" si="11"/>
        <v>40</v>
      </c>
      <c r="S182" s="25">
        <f t="shared" si="12"/>
        <v>750043</v>
      </c>
      <c r="T182" s="25">
        <f>COUNTIF($V$4:V182,V182)</f>
        <v>8</v>
      </c>
      <c r="U182" s="25" t="str">
        <f>IF(T182=1,COUNTIF($T$4:T182,1),"")</f>
        <v/>
      </c>
      <c r="V182" s="26" t="str">
        <f>'施設状況(要更新)'!$E182&amp;'施設状況(要更新)'!$C182</f>
        <v>手稲区01保育所</v>
      </c>
      <c r="W182" s="26" t="str">
        <f>'施設状況(要更新)'!$F182</f>
        <v>富丘バオバブ保育園</v>
      </c>
      <c r="X182" s="27"/>
      <c r="Y182" s="26"/>
    </row>
    <row r="183" spans="1:25">
      <c r="A183" s="45">
        <v>750047</v>
      </c>
      <c r="B183" s="46" t="s">
        <v>277</v>
      </c>
      <c r="C183" s="46" t="s">
        <v>626</v>
      </c>
      <c r="D183" s="46" t="s">
        <v>1027</v>
      </c>
      <c r="E183" s="46" t="s">
        <v>401</v>
      </c>
      <c r="F183" s="46" t="s">
        <v>1229</v>
      </c>
      <c r="G183" s="46"/>
      <c r="H183" s="46"/>
      <c r="I183" s="46"/>
      <c r="J183" s="46">
        <v>60</v>
      </c>
      <c r="K183" s="46">
        <v>0</v>
      </c>
      <c r="L183" s="46">
        <v>35</v>
      </c>
      <c r="M183" s="46">
        <v>3</v>
      </c>
      <c r="N183" s="46">
        <v>22</v>
      </c>
      <c r="O183" s="46">
        <f>SUM(テーブル1[[#This Row],[列11]:[列12]])</f>
        <v>25</v>
      </c>
      <c r="P183" s="46"/>
      <c r="Q183" s="46"/>
      <c r="R183" s="46">
        <f t="shared" si="11"/>
        <v>60</v>
      </c>
      <c r="S183" s="25">
        <f t="shared" si="12"/>
        <v>750047</v>
      </c>
      <c r="T183" s="25">
        <f>COUNTIF($V$4:V183,V183)</f>
        <v>9</v>
      </c>
      <c r="U183" s="25" t="str">
        <f>IF(T183=1,COUNTIF($T$4:T183,1),"")</f>
        <v/>
      </c>
      <c r="V183" s="26" t="str">
        <f>'施設状況(要更新)'!$E183&amp;'施設状況(要更新)'!$C183</f>
        <v>手稲区01保育所</v>
      </c>
      <c r="W183" s="26" t="str">
        <f>'施設状況(要更新)'!$F183</f>
        <v>スター保育園前田園</v>
      </c>
      <c r="X183" s="27"/>
      <c r="Y183" s="26"/>
    </row>
    <row r="184" spans="1:25">
      <c r="A184" s="45">
        <v>750048</v>
      </c>
      <c r="B184" s="46" t="s">
        <v>277</v>
      </c>
      <c r="C184" s="46" t="s">
        <v>626</v>
      </c>
      <c r="D184" s="46" t="s">
        <v>1027</v>
      </c>
      <c r="E184" s="46" t="s">
        <v>401</v>
      </c>
      <c r="F184" s="46" t="s">
        <v>1230</v>
      </c>
      <c r="G184" s="46"/>
      <c r="H184" s="46"/>
      <c r="I184" s="46"/>
      <c r="J184" s="46">
        <v>40</v>
      </c>
      <c r="K184" s="46">
        <v>0</v>
      </c>
      <c r="L184" s="46">
        <v>24</v>
      </c>
      <c r="M184" s="46">
        <v>2</v>
      </c>
      <c r="N184" s="46">
        <v>14</v>
      </c>
      <c r="O184" s="46">
        <f>SUM(テーブル1[[#This Row],[列11]:[列12]])</f>
        <v>16</v>
      </c>
      <c r="P184" s="46"/>
      <c r="Q184" s="46"/>
      <c r="R184" s="46">
        <f t="shared" si="11"/>
        <v>40</v>
      </c>
      <c r="S184" s="25">
        <f t="shared" si="12"/>
        <v>750048</v>
      </c>
      <c r="T184" s="25">
        <f>COUNTIF($V$4:V184,V184)</f>
        <v>10</v>
      </c>
      <c r="U184" s="25" t="str">
        <f>IF(T184=1,COUNTIF($T$4:T184,1),"")</f>
        <v/>
      </c>
      <c r="V184" s="26" t="str">
        <f>'施設状況(要更新)'!$E184&amp;'施設状況(要更新)'!$C184</f>
        <v>手稲区01保育所</v>
      </c>
      <c r="W184" s="26" t="str">
        <f>'施設状況(要更新)'!$F184</f>
        <v>新発寒みつばち保育園</v>
      </c>
      <c r="X184" s="27"/>
      <c r="Y184" s="26"/>
    </row>
    <row r="185" spans="1:25">
      <c r="A185" s="45">
        <v>750049</v>
      </c>
      <c r="B185" s="46" t="s">
        <v>277</v>
      </c>
      <c r="C185" s="46" t="s">
        <v>626</v>
      </c>
      <c r="D185" s="46" t="s">
        <v>1027</v>
      </c>
      <c r="E185" s="46" t="s">
        <v>401</v>
      </c>
      <c r="F185" s="46" t="s">
        <v>1247</v>
      </c>
      <c r="G185" s="46"/>
      <c r="H185" s="46"/>
      <c r="I185" s="46"/>
      <c r="J185" s="46">
        <v>40</v>
      </c>
      <c r="K185" s="46">
        <v>0</v>
      </c>
      <c r="L185" s="46">
        <v>24</v>
      </c>
      <c r="M185" s="46">
        <v>2</v>
      </c>
      <c r="N185" s="46">
        <v>14</v>
      </c>
      <c r="O185" s="46">
        <f>SUM(テーブル1[[#This Row],[列11]:[列12]])</f>
        <v>16</v>
      </c>
      <c r="P185" s="46"/>
      <c r="Q185" s="46"/>
      <c r="R185" s="46">
        <f t="shared" si="11"/>
        <v>40</v>
      </c>
      <c r="S185" s="25">
        <f t="shared" si="12"/>
        <v>750049</v>
      </c>
      <c r="T185" s="25">
        <f>COUNTIF($V$4:V185,V185)</f>
        <v>11</v>
      </c>
      <c r="U185" s="25" t="str">
        <f>IF(T185=1,COUNTIF($T$4:T185,1),"")</f>
        <v/>
      </c>
      <c r="V185" s="26" t="str">
        <f>'施設状況(要更新)'!$E185&amp;'施設状況(要更新)'!$C185</f>
        <v>手稲区01保育所</v>
      </c>
      <c r="W185" s="26" t="str">
        <f>'施設状況(要更新)'!$F185</f>
        <v>手稲みつばち保育園</v>
      </c>
      <c r="X185" s="27"/>
      <c r="Y185" s="26"/>
    </row>
    <row r="186" spans="1:25">
      <c r="A186" s="45">
        <v>750050</v>
      </c>
      <c r="B186" s="46" t="s">
        <v>277</v>
      </c>
      <c r="C186" s="46" t="s">
        <v>1249</v>
      </c>
      <c r="D186" s="46" t="s">
        <v>1027</v>
      </c>
      <c r="E186" s="46" t="s">
        <v>401</v>
      </c>
      <c r="F186" s="46" t="s">
        <v>1248</v>
      </c>
      <c r="G186" s="46"/>
      <c r="H186" s="46"/>
      <c r="I186" s="46"/>
      <c r="J186" s="46">
        <v>40</v>
      </c>
      <c r="K186" s="46">
        <v>0</v>
      </c>
      <c r="L186" s="46">
        <v>24</v>
      </c>
      <c r="M186" s="46">
        <v>2</v>
      </c>
      <c r="N186" s="46">
        <v>14</v>
      </c>
      <c r="O186" s="46">
        <f>SUM(テーブル1[[#This Row],[列11]:[列12]])</f>
        <v>16</v>
      </c>
      <c r="P186" s="46"/>
      <c r="Q186" s="46"/>
      <c r="R186" s="46">
        <f t="shared" si="11"/>
        <v>40</v>
      </c>
      <c r="S186" s="25">
        <f t="shared" si="12"/>
        <v>750050</v>
      </c>
      <c r="T186" s="25">
        <f>COUNTIF($V$4:V186,V186)</f>
        <v>12</v>
      </c>
      <c r="U186" s="25" t="str">
        <f>IF(T186=1,COUNTIF($T$4:T186,1),"")</f>
        <v/>
      </c>
      <c r="V186" s="26" t="str">
        <f>'施設状況(要更新)'!$E186&amp;'施設状況(要更新)'!$C186</f>
        <v>手稲区01保育所</v>
      </c>
      <c r="W186" s="26" t="str">
        <f>'施設状況(要更新)'!$F186</f>
        <v>手稲中央さら～れ保育園</v>
      </c>
      <c r="X186" s="27"/>
      <c r="Y186" s="26"/>
    </row>
    <row r="187" spans="1:25">
      <c r="A187" s="45">
        <v>100016</v>
      </c>
      <c r="B187" s="46" t="s">
        <v>1072</v>
      </c>
      <c r="C187" s="46" t="s">
        <v>1249</v>
      </c>
      <c r="D187" s="46" t="s">
        <v>1027</v>
      </c>
      <c r="E187" s="46" t="s">
        <v>278</v>
      </c>
      <c r="F187" s="46" t="s">
        <v>408</v>
      </c>
      <c r="G187" s="46"/>
      <c r="H187" s="46"/>
      <c r="I187" s="46"/>
      <c r="J187" s="46">
        <v>60</v>
      </c>
      <c r="K187" s="46">
        <v>0</v>
      </c>
      <c r="L187" s="46">
        <v>36</v>
      </c>
      <c r="M187" s="46">
        <v>6</v>
      </c>
      <c r="N187" s="46">
        <v>18</v>
      </c>
      <c r="O187" s="46">
        <f>SUM(テーブル1[[#This Row],[列11]:[列12]])</f>
        <v>24</v>
      </c>
      <c r="P187" s="46"/>
      <c r="Q187" s="46"/>
      <c r="R187" s="46">
        <f t="shared" si="11"/>
        <v>60</v>
      </c>
      <c r="S187" s="25">
        <f t="shared" si="12"/>
        <v>100016</v>
      </c>
      <c r="T187" s="25">
        <f>COUNTIF($V$4:V187,V187)</f>
        <v>35</v>
      </c>
      <c r="U187" s="25" t="str">
        <f>IF(T187=1,COUNTIF($T$4:T187,1),"")</f>
        <v/>
      </c>
      <c r="V187" s="26" t="str">
        <f>'施設状況(要更新)'!$E187&amp;'施設状況(要更新)'!$C187</f>
        <v>中央区01保育所</v>
      </c>
      <c r="W187" s="26" t="str">
        <f>'施設状況(要更新)'!$F187</f>
        <v>札幌市大通保育園</v>
      </c>
      <c r="X187" s="27"/>
      <c r="Y187" s="26"/>
    </row>
    <row r="188" spans="1:25">
      <c r="A188" s="45">
        <v>100017</v>
      </c>
      <c r="B188" s="46" t="s">
        <v>1072</v>
      </c>
      <c r="C188" s="46" t="s">
        <v>1249</v>
      </c>
      <c r="D188" s="46" t="s">
        <v>1027</v>
      </c>
      <c r="E188" s="46" t="s">
        <v>278</v>
      </c>
      <c r="F188" s="46" t="s">
        <v>409</v>
      </c>
      <c r="G188" s="46"/>
      <c r="H188" s="46"/>
      <c r="I188" s="46"/>
      <c r="J188" s="46">
        <v>120</v>
      </c>
      <c r="K188" s="46">
        <v>0</v>
      </c>
      <c r="L188" s="46">
        <v>65</v>
      </c>
      <c r="M188" s="46">
        <v>15</v>
      </c>
      <c r="N188" s="46">
        <v>40</v>
      </c>
      <c r="O188" s="46">
        <f>SUM(テーブル1[[#This Row],[列11]:[列12]])</f>
        <v>55</v>
      </c>
      <c r="P188" s="46"/>
      <c r="Q188" s="46"/>
      <c r="R188" s="46">
        <f t="shared" si="11"/>
        <v>120</v>
      </c>
      <c r="S188" s="25">
        <f t="shared" si="12"/>
        <v>100017</v>
      </c>
      <c r="T188" s="25">
        <f>COUNTIF($V$4:V188,V188)</f>
        <v>36</v>
      </c>
      <c r="U188" s="25" t="str">
        <f>IF(T188=1,COUNTIF($T$4:T188,1),"")</f>
        <v/>
      </c>
      <c r="V188" s="26" t="str">
        <f>'施設状況(要更新)'!$E188&amp;'施設状況(要更新)'!$C188</f>
        <v>中央区01保育所</v>
      </c>
      <c r="W188" s="26" t="str">
        <f>'施設状況(要更新)'!$F188</f>
        <v>札幌市しせいかん保育園</v>
      </c>
      <c r="X188" s="27"/>
      <c r="Y188" s="26"/>
    </row>
    <row r="189" spans="1:25">
      <c r="A189" s="45">
        <v>700015</v>
      </c>
      <c r="B189" s="46" t="s">
        <v>1072</v>
      </c>
      <c r="C189" s="46" t="s">
        <v>1249</v>
      </c>
      <c r="D189" s="46" t="s">
        <v>1027</v>
      </c>
      <c r="E189" s="46" t="s">
        <v>384</v>
      </c>
      <c r="F189" s="46" t="s">
        <v>410</v>
      </c>
      <c r="G189" s="46"/>
      <c r="H189" s="46"/>
      <c r="I189" s="46"/>
      <c r="J189" s="46">
        <v>90</v>
      </c>
      <c r="K189" s="46">
        <v>0</v>
      </c>
      <c r="L189" s="46">
        <v>51</v>
      </c>
      <c r="M189" s="46">
        <v>9</v>
      </c>
      <c r="N189" s="46">
        <v>30</v>
      </c>
      <c r="O189" s="46">
        <f>SUM(テーブル1[[#This Row],[列11]:[列12]])</f>
        <v>39</v>
      </c>
      <c r="P189" s="46"/>
      <c r="Q189" s="46"/>
      <c r="R189" s="46">
        <f t="shared" si="11"/>
        <v>90</v>
      </c>
      <c r="S189" s="25">
        <f t="shared" si="12"/>
        <v>700015</v>
      </c>
      <c r="T189" s="25">
        <f>COUNTIF($V$4:V189,V189)</f>
        <v>26</v>
      </c>
      <c r="U189" s="25" t="str">
        <f>IF(T189=1,COUNTIF($T$4:T189,1),"")</f>
        <v/>
      </c>
      <c r="V189" s="26" t="str">
        <f>'施設状況(要更新)'!$E189&amp;'施設状況(要更新)'!$C189</f>
        <v>西区01保育所</v>
      </c>
      <c r="W189" s="26" t="str">
        <f>'施設状況(要更新)'!$F189</f>
        <v>札幌市二十四軒南保育園</v>
      </c>
      <c r="X189" s="27"/>
      <c r="Y189" s="26"/>
    </row>
    <row r="190" spans="1:25">
      <c r="A190" s="45"/>
      <c r="B190" s="46"/>
      <c r="C190" s="46"/>
      <c r="D190" s="46"/>
      <c r="E190" s="46"/>
      <c r="F190" s="46"/>
      <c r="G190" s="46"/>
      <c r="H190" s="46"/>
      <c r="I190" s="46"/>
      <c r="J190" s="46"/>
      <c r="K190" s="46"/>
      <c r="L190" s="46"/>
      <c r="M190" s="46"/>
      <c r="N190" s="46"/>
      <c r="O190" s="46"/>
      <c r="P190" s="46"/>
      <c r="Q190" s="46"/>
      <c r="R190" s="46">
        <f t="shared" si="11"/>
        <v>0</v>
      </c>
      <c r="S190" s="25">
        <f t="shared" si="12"/>
        <v>0</v>
      </c>
      <c r="T190" s="25">
        <f>COUNTIF($V$4:V190,V190)</f>
        <v>1</v>
      </c>
      <c r="U190" s="25">
        <f>IF(T190=1,COUNTIF($T$4:T190,1),"")</f>
        <v>11</v>
      </c>
      <c r="V190" s="26" t="str">
        <f>'施設状況(要更新)'!$E190&amp;'施設状況(要更新)'!$C190</f>
        <v/>
      </c>
      <c r="W190" s="26">
        <f>'施設状況(要更新)'!$F190</f>
        <v>0</v>
      </c>
      <c r="X190" s="27"/>
      <c r="Y190" s="26"/>
    </row>
    <row r="191" spans="1:25">
      <c r="A191" s="45"/>
      <c r="B191" s="46"/>
      <c r="C191" s="46"/>
      <c r="D191" s="46"/>
      <c r="E191" s="46"/>
      <c r="F191" s="46"/>
      <c r="G191" s="46"/>
      <c r="H191" s="46"/>
      <c r="I191" s="46"/>
      <c r="J191" s="46"/>
      <c r="K191" s="46"/>
      <c r="L191" s="46"/>
      <c r="M191" s="46"/>
      <c r="N191" s="46"/>
      <c r="O191" s="46"/>
      <c r="P191" s="46"/>
      <c r="Q191" s="46"/>
      <c r="R191" s="46">
        <f t="shared" si="11"/>
        <v>0</v>
      </c>
      <c r="S191" s="25">
        <f t="shared" si="12"/>
        <v>0</v>
      </c>
      <c r="T191" s="25">
        <f>COUNTIF($V$4:V191,V191)</f>
        <v>2</v>
      </c>
      <c r="U191" s="25" t="str">
        <f>IF(T191=1,COUNTIF($T$4:T191,1),"")</f>
        <v/>
      </c>
      <c r="V191" s="26" t="str">
        <f>'施設状況(要更新)'!$E191&amp;'施設状況(要更新)'!$C191</f>
        <v/>
      </c>
      <c r="W191" s="26">
        <f>'施設状況(要更新)'!$F191</f>
        <v>0</v>
      </c>
      <c r="X191" s="27"/>
      <c r="Y191" s="26"/>
    </row>
    <row r="192" spans="1:25">
      <c r="A192" s="45"/>
      <c r="B192" s="46"/>
      <c r="C192" s="46"/>
      <c r="D192" s="46"/>
      <c r="E192" s="46"/>
      <c r="F192" s="46"/>
      <c r="G192" s="46"/>
      <c r="H192" s="46"/>
      <c r="I192" s="46"/>
      <c r="J192" s="46"/>
      <c r="K192" s="46"/>
      <c r="L192" s="46"/>
      <c r="M192" s="46"/>
      <c r="N192" s="46"/>
      <c r="O192" s="46"/>
      <c r="P192" s="46"/>
      <c r="Q192" s="46"/>
      <c r="R192" s="46">
        <f t="shared" si="11"/>
        <v>0</v>
      </c>
      <c r="S192" s="25">
        <f t="shared" si="12"/>
        <v>0</v>
      </c>
      <c r="T192" s="25">
        <f>COUNTIF($V$4:V192,V192)</f>
        <v>3</v>
      </c>
      <c r="U192" s="25" t="str">
        <f>IF(T192=1,COUNTIF($T$4:T192,1),"")</f>
        <v/>
      </c>
      <c r="V192" s="26" t="str">
        <f>'施設状況(要更新)'!$E192&amp;'施設状況(要更新)'!$C192</f>
        <v/>
      </c>
      <c r="W192" s="26">
        <f>'施設状況(要更新)'!$F192</f>
        <v>0</v>
      </c>
      <c r="X192" s="27"/>
      <c r="Y192" s="26"/>
    </row>
    <row r="193" spans="1:33">
      <c r="A193" s="45"/>
      <c r="B193" s="46"/>
      <c r="C193" s="46"/>
      <c r="D193" s="46"/>
      <c r="E193" s="46"/>
      <c r="F193" s="46"/>
      <c r="G193" s="46"/>
      <c r="H193" s="46"/>
      <c r="I193" s="46"/>
      <c r="J193" s="46"/>
      <c r="K193" s="46"/>
      <c r="L193" s="46"/>
      <c r="M193" s="46"/>
      <c r="N193" s="46"/>
      <c r="O193" s="46"/>
      <c r="P193" s="46"/>
      <c r="Q193" s="46"/>
      <c r="R193" s="46">
        <f t="shared" si="11"/>
        <v>0</v>
      </c>
      <c r="S193" s="25">
        <f t="shared" si="12"/>
        <v>0</v>
      </c>
      <c r="T193" s="25">
        <f>COUNTIF($V$4:V193,V193)</f>
        <v>4</v>
      </c>
      <c r="U193" s="25" t="str">
        <f>IF(T193=1,COUNTIF($T$4:T193,1),"")</f>
        <v/>
      </c>
      <c r="V193" s="26" t="str">
        <f>'施設状況(要更新)'!$E193&amp;'施設状況(要更新)'!$C193</f>
        <v/>
      </c>
      <c r="W193" s="26">
        <f>'施設状況(要更新)'!$F193</f>
        <v>0</v>
      </c>
      <c r="X193" s="27"/>
      <c r="Y193" s="26"/>
    </row>
    <row r="194" spans="1:33">
      <c r="A194" s="45"/>
      <c r="B194" s="46"/>
      <c r="C194" s="46"/>
      <c r="D194" s="46"/>
      <c r="E194" s="46"/>
      <c r="F194" s="46"/>
      <c r="G194" s="46"/>
      <c r="H194" s="46"/>
      <c r="I194" s="46"/>
      <c r="J194" s="46"/>
      <c r="K194" s="46"/>
      <c r="L194" s="46"/>
      <c r="M194" s="46"/>
      <c r="N194" s="46"/>
      <c r="O194" s="46"/>
      <c r="P194" s="46"/>
      <c r="Q194" s="46"/>
      <c r="R194" s="46">
        <f t="shared" si="11"/>
        <v>0</v>
      </c>
      <c r="S194" s="25">
        <f t="shared" si="12"/>
        <v>0</v>
      </c>
      <c r="T194" s="25">
        <f>COUNTIF($V$4:V194,V194)</f>
        <v>5</v>
      </c>
      <c r="U194" s="25" t="str">
        <f>IF(T194=1,COUNTIF($T$4:T194,1),"")</f>
        <v/>
      </c>
      <c r="V194" s="26" t="str">
        <f>'施設状況(要更新)'!$E194&amp;'施設状況(要更新)'!$C194</f>
        <v/>
      </c>
      <c r="W194" s="26">
        <f>'施設状況(要更新)'!$F194</f>
        <v>0</v>
      </c>
      <c r="X194" s="27"/>
      <c r="Y194" s="26"/>
    </row>
    <row r="195" spans="1:33">
      <c r="A195" s="45"/>
      <c r="B195" s="46"/>
      <c r="C195" s="46"/>
      <c r="D195" s="46"/>
      <c r="E195" s="46"/>
      <c r="F195" s="46"/>
      <c r="G195" s="46"/>
      <c r="H195" s="46"/>
      <c r="I195" s="46"/>
      <c r="J195" s="46"/>
      <c r="K195" s="46"/>
      <c r="L195" s="46"/>
      <c r="M195" s="46"/>
      <c r="N195" s="46"/>
      <c r="O195" s="46"/>
      <c r="P195" s="46"/>
      <c r="Q195" s="46"/>
      <c r="R195" s="46">
        <f t="shared" si="11"/>
        <v>0</v>
      </c>
      <c r="S195" s="25">
        <f t="shared" si="12"/>
        <v>0</v>
      </c>
      <c r="T195" s="25">
        <f>COUNTIF($V$4:V195,V195)</f>
        <v>6</v>
      </c>
      <c r="U195" s="25" t="str">
        <f>IF(T195=1,COUNTIF($T$4:T195,1),"")</f>
        <v/>
      </c>
      <c r="V195" s="26" t="str">
        <f>'施設状況(要更新)'!$E195&amp;'施設状況(要更新)'!$C195</f>
        <v/>
      </c>
      <c r="W195" s="26">
        <f>'施設状況(要更新)'!$F195</f>
        <v>0</v>
      </c>
      <c r="X195" s="27"/>
      <c r="Y195" s="26"/>
    </row>
    <row r="196" spans="1:33">
      <c r="A196" s="45"/>
      <c r="B196" s="46"/>
      <c r="C196" s="46"/>
      <c r="D196" s="46"/>
      <c r="E196" s="46"/>
      <c r="F196" s="46"/>
      <c r="G196" s="46"/>
      <c r="H196" s="46"/>
      <c r="I196" s="46"/>
      <c r="J196" s="46"/>
      <c r="K196" s="46"/>
      <c r="L196" s="46"/>
      <c r="M196" s="46"/>
      <c r="N196" s="46"/>
      <c r="O196" s="46"/>
      <c r="P196" s="46"/>
      <c r="Q196" s="46"/>
      <c r="R196" s="46">
        <f t="shared" si="11"/>
        <v>0</v>
      </c>
      <c r="S196" s="25">
        <f t="shared" si="12"/>
        <v>0</v>
      </c>
      <c r="T196" s="25">
        <f>COUNTIF($V$4:V196,V196)</f>
        <v>7</v>
      </c>
      <c r="U196" s="25" t="str">
        <f>IF(T196=1,COUNTIF($T$4:T196,1),"")</f>
        <v/>
      </c>
      <c r="V196" s="26" t="str">
        <f>'施設状況(要更新)'!$E196&amp;'施設状況(要更新)'!$C196</f>
        <v/>
      </c>
      <c r="W196" s="26">
        <f>'施設状況(要更新)'!$F196</f>
        <v>0</v>
      </c>
      <c r="X196" s="27"/>
      <c r="Y196" s="26"/>
    </row>
    <row r="197" spans="1:33">
      <c r="A197" s="45"/>
      <c r="B197" s="46"/>
      <c r="C197" s="46"/>
      <c r="D197" s="46"/>
      <c r="E197" s="46"/>
      <c r="F197" s="46"/>
      <c r="G197" s="46"/>
      <c r="H197" s="46"/>
      <c r="I197" s="46"/>
      <c r="J197" s="46"/>
      <c r="K197" s="46"/>
      <c r="L197" s="46"/>
      <c r="M197" s="46"/>
      <c r="N197" s="46"/>
      <c r="O197" s="46"/>
      <c r="P197" s="46"/>
      <c r="Q197" s="46"/>
      <c r="R197" s="46">
        <f t="shared" ref="R197:R232" si="13">SUM(K197,L197,O197)</f>
        <v>0</v>
      </c>
      <c r="S197" s="25">
        <f t="shared" ref="S197:S238" si="14">A197</f>
        <v>0</v>
      </c>
      <c r="T197" s="25">
        <f>COUNTIF($V$4:V197,V197)</f>
        <v>8</v>
      </c>
      <c r="U197" s="25" t="str">
        <f>IF(T197=1,COUNTIF($T$4:T197,1),"")</f>
        <v/>
      </c>
      <c r="V197" s="26" t="str">
        <f>'施設状況(要更新)'!$E197&amp;'施設状況(要更新)'!$C197</f>
        <v/>
      </c>
      <c r="W197" s="26">
        <f>'施設状況(要更新)'!$F197</f>
        <v>0</v>
      </c>
      <c r="X197" s="27"/>
      <c r="Y197" s="26"/>
    </row>
    <row r="198" spans="1:33">
      <c r="A198" s="45"/>
      <c r="B198" s="46"/>
      <c r="C198" s="46"/>
      <c r="D198" s="46"/>
      <c r="E198" s="46"/>
      <c r="F198" s="46"/>
      <c r="G198" s="46"/>
      <c r="H198" s="46"/>
      <c r="I198" s="46"/>
      <c r="J198" s="46"/>
      <c r="K198" s="46"/>
      <c r="L198" s="46"/>
      <c r="M198" s="46"/>
      <c r="N198" s="46"/>
      <c r="O198" s="46"/>
      <c r="P198" s="46"/>
      <c r="Q198" s="46"/>
      <c r="R198" s="46">
        <f t="shared" si="13"/>
        <v>0</v>
      </c>
      <c r="S198" s="25">
        <f t="shared" si="14"/>
        <v>0</v>
      </c>
      <c r="T198" s="25">
        <f>COUNTIF($V$4:V198,V198)</f>
        <v>9</v>
      </c>
      <c r="U198" s="25" t="str">
        <f>IF(T198=1,COUNTIF($T$4:T198,1),"")</f>
        <v/>
      </c>
      <c r="V198" s="26" t="str">
        <f>'施設状況(要更新)'!$E198&amp;'施設状況(要更新)'!$C198</f>
        <v/>
      </c>
      <c r="W198" s="26">
        <f>'施設状況(要更新)'!$F198</f>
        <v>0</v>
      </c>
      <c r="X198" s="27"/>
      <c r="Y198" s="26"/>
    </row>
    <row r="199" spans="1:33">
      <c r="A199" s="45"/>
      <c r="B199" s="46"/>
      <c r="C199" s="46"/>
      <c r="D199" s="46"/>
      <c r="E199" s="46"/>
      <c r="F199" s="46"/>
      <c r="G199" s="46"/>
      <c r="H199" s="46"/>
      <c r="I199" s="46"/>
      <c r="J199" s="46"/>
      <c r="K199" s="46"/>
      <c r="L199" s="46"/>
      <c r="M199" s="46"/>
      <c r="N199" s="46"/>
      <c r="O199" s="46"/>
      <c r="P199" s="46"/>
      <c r="Q199" s="46"/>
      <c r="R199" s="46">
        <f t="shared" si="13"/>
        <v>0</v>
      </c>
      <c r="S199" s="25">
        <f t="shared" si="14"/>
        <v>0</v>
      </c>
      <c r="T199" s="25">
        <f>COUNTIF($V$4:V199,V199)</f>
        <v>10</v>
      </c>
      <c r="U199" s="25" t="str">
        <f>IF(T199=1,COUNTIF($T$4:T199,1),"")</f>
        <v/>
      </c>
      <c r="V199" s="26" t="str">
        <f>'施設状況(要更新)'!$E199&amp;'施設状況(要更新)'!$C199</f>
        <v/>
      </c>
      <c r="W199" s="26">
        <f>'施設状況(要更新)'!$F199</f>
        <v>0</v>
      </c>
      <c r="X199" s="27"/>
      <c r="Y199" s="26"/>
      <c r="Z199" s="26"/>
      <c r="AA199" s="26"/>
      <c r="AB199" s="26"/>
      <c r="AC199" s="26"/>
      <c r="AD199" s="26"/>
      <c r="AE199" s="26"/>
      <c r="AF199" s="26"/>
      <c r="AG199" s="26"/>
    </row>
    <row r="200" spans="1:33">
      <c r="A200" s="45"/>
      <c r="B200" s="46"/>
      <c r="C200" s="46"/>
      <c r="D200" s="46"/>
      <c r="E200" s="46"/>
      <c r="F200" s="46"/>
      <c r="G200" s="46"/>
      <c r="H200" s="46"/>
      <c r="I200" s="46"/>
      <c r="J200" s="46"/>
      <c r="K200" s="46"/>
      <c r="L200" s="46"/>
      <c r="M200" s="46"/>
      <c r="N200" s="46"/>
      <c r="O200" s="46"/>
      <c r="P200" s="46"/>
      <c r="Q200" s="46"/>
      <c r="R200" s="46">
        <f t="shared" si="13"/>
        <v>0</v>
      </c>
      <c r="S200" s="25">
        <f t="shared" si="14"/>
        <v>0</v>
      </c>
      <c r="T200" s="25">
        <f>COUNTIF($V$4:V200,V200)</f>
        <v>11</v>
      </c>
      <c r="U200" s="25" t="str">
        <f>IF(T200=1,COUNTIF($T$4:T200,1),"")</f>
        <v/>
      </c>
      <c r="V200" s="26" t="str">
        <f>'施設状況(要更新)'!$E200&amp;'施設状況(要更新)'!$C200</f>
        <v/>
      </c>
      <c r="W200" s="26">
        <f>'施設状況(要更新)'!$F200</f>
        <v>0</v>
      </c>
      <c r="X200" s="27"/>
      <c r="Y200" s="26"/>
    </row>
    <row r="201" spans="1:33">
      <c r="A201" s="45"/>
      <c r="B201" s="46"/>
      <c r="C201" s="46"/>
      <c r="D201" s="46"/>
      <c r="E201" s="46"/>
      <c r="F201" s="46"/>
      <c r="G201" s="46"/>
      <c r="H201" s="46"/>
      <c r="I201" s="46"/>
      <c r="J201" s="46"/>
      <c r="K201" s="46"/>
      <c r="L201" s="46"/>
      <c r="M201" s="46"/>
      <c r="N201" s="46"/>
      <c r="O201" s="46"/>
      <c r="P201" s="46"/>
      <c r="Q201" s="46"/>
      <c r="R201" s="46">
        <f t="shared" si="13"/>
        <v>0</v>
      </c>
      <c r="S201" s="25">
        <f t="shared" si="14"/>
        <v>0</v>
      </c>
      <c r="T201" s="25">
        <f>COUNTIF($V$4:V201,V201)</f>
        <v>12</v>
      </c>
      <c r="U201" s="25" t="str">
        <f>IF(T201=1,COUNTIF($T$4:T201,1),"")</f>
        <v/>
      </c>
      <c r="V201" s="26" t="str">
        <f>'施設状況(要更新)'!$E201&amp;'施設状況(要更新)'!$C201</f>
        <v/>
      </c>
      <c r="W201" s="26">
        <f>'施設状況(要更新)'!$F201</f>
        <v>0</v>
      </c>
      <c r="X201" s="27"/>
      <c r="Y201" s="26"/>
    </row>
    <row r="202" spans="1:33">
      <c r="A202" s="45"/>
      <c r="B202" s="46"/>
      <c r="C202" s="46"/>
      <c r="D202" s="46"/>
      <c r="E202" s="46"/>
      <c r="F202" s="46"/>
      <c r="G202" s="46"/>
      <c r="H202" s="46"/>
      <c r="I202" s="46"/>
      <c r="J202" s="46"/>
      <c r="K202" s="46"/>
      <c r="L202" s="46"/>
      <c r="M202" s="46"/>
      <c r="N202" s="46"/>
      <c r="O202" s="46"/>
      <c r="P202" s="46"/>
      <c r="Q202" s="46"/>
      <c r="R202" s="46">
        <f t="shared" si="13"/>
        <v>0</v>
      </c>
      <c r="S202" s="25">
        <f t="shared" si="14"/>
        <v>0</v>
      </c>
      <c r="T202" s="25">
        <f>COUNTIF($V$4:V202,V202)</f>
        <v>13</v>
      </c>
      <c r="U202" s="25" t="str">
        <f>IF(T202=1,COUNTIF($T$4:T202,1),"")</f>
        <v/>
      </c>
      <c r="V202" s="26" t="str">
        <f>'施設状況(要更新)'!$E202&amp;'施設状況(要更新)'!$C202</f>
        <v/>
      </c>
      <c r="W202" s="26">
        <f>'施設状況(要更新)'!$F202</f>
        <v>0</v>
      </c>
      <c r="X202" s="27"/>
      <c r="Y202" s="26"/>
    </row>
    <row r="203" spans="1:33">
      <c r="A203" s="45"/>
      <c r="B203" s="46"/>
      <c r="C203" s="46"/>
      <c r="D203" s="46"/>
      <c r="E203" s="46"/>
      <c r="F203" s="46"/>
      <c r="G203" s="46"/>
      <c r="H203" s="46"/>
      <c r="I203" s="46"/>
      <c r="J203" s="46"/>
      <c r="K203" s="46"/>
      <c r="L203" s="46"/>
      <c r="M203" s="46"/>
      <c r="N203" s="46"/>
      <c r="O203" s="46"/>
      <c r="P203" s="46"/>
      <c r="Q203" s="46"/>
      <c r="R203" s="46">
        <f t="shared" si="13"/>
        <v>0</v>
      </c>
      <c r="S203" s="25">
        <f t="shared" si="14"/>
        <v>0</v>
      </c>
      <c r="T203" s="25">
        <f>COUNTIF($V$4:V203,V203)</f>
        <v>14</v>
      </c>
      <c r="U203" s="25" t="str">
        <f>IF(T203=1,COUNTIF($T$4:T203,1),"")</f>
        <v/>
      </c>
      <c r="V203" s="26" t="str">
        <f>'施設状況(要更新)'!$E203&amp;'施設状況(要更新)'!$C203</f>
        <v/>
      </c>
      <c r="W203" s="26">
        <f>'施設状況(要更新)'!$F203</f>
        <v>0</v>
      </c>
      <c r="X203" s="27"/>
      <c r="Y203" s="26"/>
    </row>
    <row r="204" spans="1:33">
      <c r="A204" s="45"/>
      <c r="B204" s="46"/>
      <c r="C204" s="46"/>
      <c r="D204" s="46"/>
      <c r="E204" s="46"/>
      <c r="F204" s="46"/>
      <c r="G204" s="46"/>
      <c r="H204" s="46"/>
      <c r="I204" s="46"/>
      <c r="J204" s="46"/>
      <c r="K204" s="46"/>
      <c r="L204" s="46"/>
      <c r="M204" s="46"/>
      <c r="N204" s="46"/>
      <c r="O204" s="46"/>
      <c r="P204" s="46"/>
      <c r="Q204" s="46"/>
      <c r="R204" s="46">
        <f t="shared" si="13"/>
        <v>0</v>
      </c>
      <c r="S204" s="25">
        <f t="shared" si="14"/>
        <v>0</v>
      </c>
      <c r="T204" s="25">
        <f>COUNTIF($V$4:V204,V204)</f>
        <v>15</v>
      </c>
      <c r="U204" s="25" t="str">
        <f>IF(T204=1,COUNTIF($T$4:T204,1),"")</f>
        <v/>
      </c>
      <c r="V204" s="26" t="str">
        <f>'施設状況(要更新)'!$E204&amp;'施設状況(要更新)'!$C204</f>
        <v/>
      </c>
      <c r="W204" s="26">
        <f>'施設状況(要更新)'!$F204</f>
        <v>0</v>
      </c>
      <c r="X204" s="27"/>
      <c r="Y204" s="26"/>
    </row>
    <row r="205" spans="1:33">
      <c r="A205" s="45"/>
      <c r="B205" s="46"/>
      <c r="C205" s="46"/>
      <c r="D205" s="46"/>
      <c r="E205" s="46"/>
      <c r="F205" s="46"/>
      <c r="G205" s="46"/>
      <c r="H205" s="46"/>
      <c r="I205" s="46"/>
      <c r="J205" s="46"/>
      <c r="K205" s="46"/>
      <c r="L205" s="46"/>
      <c r="M205" s="46"/>
      <c r="N205" s="46"/>
      <c r="O205" s="46"/>
      <c r="P205" s="46"/>
      <c r="Q205" s="46"/>
      <c r="R205" s="46">
        <f t="shared" si="13"/>
        <v>0</v>
      </c>
      <c r="S205" s="25">
        <f t="shared" si="14"/>
        <v>0</v>
      </c>
      <c r="T205" s="25">
        <f>COUNTIF($V$4:V205,V205)</f>
        <v>16</v>
      </c>
      <c r="U205" s="25" t="str">
        <f>IF(T205=1,COUNTIF($T$4:T205,1),"")</f>
        <v/>
      </c>
      <c r="V205" s="26" t="str">
        <f>'施設状況(要更新)'!$E205&amp;'施設状況(要更新)'!$C205</f>
        <v/>
      </c>
      <c r="W205" s="26">
        <f>'施設状況(要更新)'!$F205</f>
        <v>0</v>
      </c>
      <c r="X205" s="27"/>
      <c r="Y205" s="26"/>
    </row>
    <row r="206" spans="1:33">
      <c r="A206" s="45"/>
      <c r="B206" s="46"/>
      <c r="C206" s="46"/>
      <c r="D206" s="46"/>
      <c r="E206" s="46"/>
      <c r="F206" s="46"/>
      <c r="G206" s="46"/>
      <c r="H206" s="46"/>
      <c r="I206" s="46"/>
      <c r="J206" s="46"/>
      <c r="K206" s="46"/>
      <c r="L206" s="46"/>
      <c r="M206" s="46"/>
      <c r="N206" s="46"/>
      <c r="O206" s="46"/>
      <c r="P206" s="46"/>
      <c r="Q206" s="46"/>
      <c r="R206" s="46">
        <f t="shared" si="13"/>
        <v>0</v>
      </c>
      <c r="S206" s="25">
        <f t="shared" si="14"/>
        <v>0</v>
      </c>
      <c r="T206" s="25">
        <f>COUNTIF($V$4:V206,V206)</f>
        <v>17</v>
      </c>
      <c r="U206" s="25" t="str">
        <f>IF(T206=1,COUNTIF($T$4:T206,1),"")</f>
        <v/>
      </c>
      <c r="V206" s="26" t="str">
        <f>'施設状況(要更新)'!$E206&amp;'施設状況(要更新)'!$C206</f>
        <v/>
      </c>
      <c r="W206" s="26">
        <f>'施設状況(要更新)'!$F206</f>
        <v>0</v>
      </c>
      <c r="X206" s="27"/>
      <c r="Y206" s="26"/>
    </row>
    <row r="207" spans="1:33">
      <c r="A207" s="45"/>
      <c r="B207" s="46"/>
      <c r="C207" s="46"/>
      <c r="D207" s="46"/>
      <c r="E207" s="46"/>
      <c r="F207" s="46"/>
      <c r="G207" s="46"/>
      <c r="H207" s="46"/>
      <c r="I207" s="46"/>
      <c r="J207" s="46"/>
      <c r="K207" s="46"/>
      <c r="L207" s="46"/>
      <c r="M207" s="46"/>
      <c r="N207" s="46"/>
      <c r="O207" s="46"/>
      <c r="P207" s="46"/>
      <c r="Q207" s="46"/>
      <c r="R207" s="46">
        <f t="shared" si="13"/>
        <v>0</v>
      </c>
      <c r="S207" s="25">
        <f t="shared" si="14"/>
        <v>0</v>
      </c>
      <c r="T207" s="25">
        <f>COUNTIF($V$4:V207,V207)</f>
        <v>18</v>
      </c>
      <c r="U207" s="25" t="str">
        <f>IF(T207=1,COUNTIF($T$4:T207,1),"")</f>
        <v/>
      </c>
      <c r="V207" s="26" t="str">
        <f>'施設状況(要更新)'!$E207&amp;'施設状況(要更新)'!$C207</f>
        <v/>
      </c>
      <c r="W207" s="26">
        <f>'施設状況(要更新)'!$F207</f>
        <v>0</v>
      </c>
      <c r="X207" s="27"/>
      <c r="Y207" s="26"/>
    </row>
    <row r="208" spans="1:33">
      <c r="A208" s="45"/>
      <c r="B208" s="46"/>
      <c r="C208" s="46"/>
      <c r="D208" s="46"/>
      <c r="E208" s="46"/>
      <c r="F208" s="46"/>
      <c r="G208" s="46"/>
      <c r="H208" s="46"/>
      <c r="I208" s="46"/>
      <c r="J208" s="46"/>
      <c r="K208" s="46"/>
      <c r="L208" s="46"/>
      <c r="M208" s="46"/>
      <c r="N208" s="46"/>
      <c r="O208" s="46"/>
      <c r="P208" s="46"/>
      <c r="Q208" s="46"/>
      <c r="R208" s="46">
        <f t="shared" si="13"/>
        <v>0</v>
      </c>
      <c r="S208" s="25">
        <f t="shared" si="14"/>
        <v>0</v>
      </c>
      <c r="T208" s="25">
        <f>COUNTIF($V$4:V208,V208)</f>
        <v>19</v>
      </c>
      <c r="U208" s="25" t="str">
        <f>IF(T208=1,COUNTIF($T$4:T208,1),"")</f>
        <v/>
      </c>
      <c r="V208" s="26" t="str">
        <f>'施設状況(要更新)'!$E208&amp;'施設状況(要更新)'!$C208</f>
        <v/>
      </c>
      <c r="W208" s="26">
        <f>'施設状況(要更新)'!$F208</f>
        <v>0</v>
      </c>
      <c r="X208" s="27"/>
      <c r="Y208" s="26"/>
    </row>
    <row r="209" spans="1:25">
      <c r="A209" s="45"/>
      <c r="B209" s="46"/>
      <c r="C209" s="46"/>
      <c r="D209" s="46"/>
      <c r="E209" s="46"/>
      <c r="F209" s="46"/>
      <c r="G209" s="46"/>
      <c r="H209" s="46"/>
      <c r="I209" s="46"/>
      <c r="J209" s="46"/>
      <c r="K209" s="46"/>
      <c r="L209" s="46"/>
      <c r="M209" s="46"/>
      <c r="N209" s="46"/>
      <c r="O209" s="46"/>
      <c r="P209" s="46"/>
      <c r="Q209" s="46"/>
      <c r="R209" s="46">
        <f t="shared" si="13"/>
        <v>0</v>
      </c>
      <c r="S209" s="25">
        <f t="shared" si="14"/>
        <v>0</v>
      </c>
      <c r="T209" s="25">
        <f>COUNTIF($V$4:V209,V209)</f>
        <v>20</v>
      </c>
      <c r="U209" s="25" t="str">
        <f>IF(T209=1,COUNTIF($T$4:T209,1),"")</f>
        <v/>
      </c>
      <c r="V209" s="26" t="str">
        <f>'施設状況(要更新)'!$E209&amp;'施設状況(要更新)'!$C209</f>
        <v/>
      </c>
      <c r="W209" s="26">
        <f>'施設状況(要更新)'!$F209</f>
        <v>0</v>
      </c>
      <c r="X209" s="27"/>
      <c r="Y209" s="26"/>
    </row>
    <row r="210" spans="1:25">
      <c r="A210" s="45"/>
      <c r="B210" s="46"/>
      <c r="C210" s="46"/>
      <c r="D210" s="46"/>
      <c r="E210" s="46"/>
      <c r="F210" s="46"/>
      <c r="G210" s="46"/>
      <c r="H210" s="46"/>
      <c r="I210" s="46"/>
      <c r="J210" s="46"/>
      <c r="K210" s="46"/>
      <c r="L210" s="46"/>
      <c r="M210" s="46"/>
      <c r="N210" s="46"/>
      <c r="O210" s="46"/>
      <c r="P210" s="46"/>
      <c r="Q210" s="46"/>
      <c r="R210" s="46">
        <f t="shared" si="13"/>
        <v>0</v>
      </c>
      <c r="S210" s="25">
        <f t="shared" si="14"/>
        <v>0</v>
      </c>
      <c r="T210" s="25">
        <f>COUNTIF($V$4:V210,V210)</f>
        <v>21</v>
      </c>
      <c r="U210" s="25" t="str">
        <f>IF(T210=1,COUNTIF($T$4:T210,1),"")</f>
        <v/>
      </c>
      <c r="V210" s="26" t="str">
        <f>'施設状況(要更新)'!$E210&amp;'施設状況(要更新)'!$C210</f>
        <v/>
      </c>
      <c r="W210" s="26">
        <f>'施設状況(要更新)'!$F210</f>
        <v>0</v>
      </c>
      <c r="X210" s="27"/>
      <c r="Y210" s="26"/>
    </row>
    <row r="211" spans="1:25">
      <c r="A211" s="45"/>
      <c r="B211" s="46"/>
      <c r="C211" s="46"/>
      <c r="D211" s="46"/>
      <c r="E211" s="46"/>
      <c r="F211" s="46"/>
      <c r="G211" s="46"/>
      <c r="H211" s="46"/>
      <c r="I211" s="46"/>
      <c r="J211" s="46"/>
      <c r="K211" s="46"/>
      <c r="L211" s="46"/>
      <c r="M211" s="46"/>
      <c r="N211" s="46"/>
      <c r="O211" s="46"/>
      <c r="P211" s="46"/>
      <c r="Q211" s="46"/>
      <c r="R211" s="46">
        <f t="shared" si="13"/>
        <v>0</v>
      </c>
      <c r="S211" s="25">
        <f t="shared" si="14"/>
        <v>0</v>
      </c>
      <c r="T211" s="25">
        <f>COUNTIF($V$4:V211,V211)</f>
        <v>22</v>
      </c>
      <c r="U211" s="25" t="str">
        <f>IF(T211=1,COUNTIF($T$4:T211,1),"")</f>
        <v/>
      </c>
      <c r="V211" s="26" t="str">
        <f>'施設状況(要更新)'!$E211&amp;'施設状況(要更新)'!$C211</f>
        <v/>
      </c>
      <c r="W211" s="26">
        <f>'施設状況(要更新)'!$F211</f>
        <v>0</v>
      </c>
      <c r="X211" s="27"/>
      <c r="Y211" s="26"/>
    </row>
    <row r="212" spans="1:25">
      <c r="A212" s="45"/>
      <c r="B212" s="46"/>
      <c r="C212" s="46"/>
      <c r="D212" s="46"/>
      <c r="E212" s="46"/>
      <c r="F212" s="46"/>
      <c r="G212" s="46"/>
      <c r="H212" s="46"/>
      <c r="I212" s="46"/>
      <c r="J212" s="46"/>
      <c r="K212" s="46"/>
      <c r="L212" s="46"/>
      <c r="M212" s="46"/>
      <c r="N212" s="46"/>
      <c r="O212" s="46"/>
      <c r="P212" s="46"/>
      <c r="Q212" s="46"/>
      <c r="R212" s="46">
        <f t="shared" si="13"/>
        <v>0</v>
      </c>
      <c r="S212" s="25">
        <f t="shared" si="14"/>
        <v>0</v>
      </c>
      <c r="T212" s="25">
        <f>COUNTIF($V$4:V212,V212)</f>
        <v>23</v>
      </c>
      <c r="U212" s="25" t="str">
        <f>IF(T212=1,COUNTIF($T$4:T212,1),"")</f>
        <v/>
      </c>
      <c r="V212" s="26" t="str">
        <f>'施設状況(要更新)'!$E212&amp;'施設状況(要更新)'!$C212</f>
        <v/>
      </c>
      <c r="W212" s="26">
        <f>'施設状況(要更新)'!$F212</f>
        <v>0</v>
      </c>
      <c r="X212" s="27"/>
      <c r="Y212" s="26"/>
    </row>
    <row r="213" spans="1:25">
      <c r="A213" s="45"/>
      <c r="B213" s="46"/>
      <c r="C213" s="46"/>
      <c r="D213" s="46"/>
      <c r="E213" s="46"/>
      <c r="F213" s="46"/>
      <c r="G213" s="46"/>
      <c r="H213" s="46"/>
      <c r="I213" s="46"/>
      <c r="J213" s="46"/>
      <c r="K213" s="46"/>
      <c r="L213" s="46"/>
      <c r="M213" s="46"/>
      <c r="N213" s="46"/>
      <c r="O213" s="46"/>
      <c r="P213" s="46"/>
      <c r="Q213" s="46"/>
      <c r="R213" s="46">
        <f t="shared" si="13"/>
        <v>0</v>
      </c>
      <c r="S213" s="25">
        <f t="shared" si="14"/>
        <v>0</v>
      </c>
      <c r="T213" s="25">
        <f>COUNTIF($V$4:V213,V213)</f>
        <v>24</v>
      </c>
      <c r="U213" s="25" t="str">
        <f>IF(T213=1,COUNTIF($T$4:T213,1),"")</f>
        <v/>
      </c>
      <c r="V213" s="26" t="str">
        <f>'施設状況(要更新)'!$E213&amp;'施設状況(要更新)'!$C213</f>
        <v/>
      </c>
      <c r="W213" s="26">
        <f>'施設状況(要更新)'!$F213</f>
        <v>0</v>
      </c>
      <c r="X213" s="27"/>
      <c r="Y213" s="26"/>
    </row>
    <row r="214" spans="1:25">
      <c r="A214" s="45"/>
      <c r="B214" s="46"/>
      <c r="C214" s="46"/>
      <c r="D214" s="46"/>
      <c r="E214" s="46"/>
      <c r="F214" s="46"/>
      <c r="G214" s="46"/>
      <c r="H214" s="46"/>
      <c r="I214" s="46"/>
      <c r="J214" s="46"/>
      <c r="K214" s="46"/>
      <c r="L214" s="46"/>
      <c r="M214" s="46"/>
      <c r="N214" s="46"/>
      <c r="O214" s="46"/>
      <c r="P214" s="46"/>
      <c r="Q214" s="46"/>
      <c r="R214" s="46">
        <f t="shared" si="13"/>
        <v>0</v>
      </c>
      <c r="S214" s="25">
        <f t="shared" si="14"/>
        <v>0</v>
      </c>
      <c r="T214" s="25">
        <f>COUNTIF($V$4:V214,V214)</f>
        <v>25</v>
      </c>
      <c r="U214" s="25" t="str">
        <f>IF(T214=1,COUNTIF($T$4:T214,1),"")</f>
        <v/>
      </c>
      <c r="V214" s="26" t="str">
        <f>'施設状況(要更新)'!$E214&amp;'施設状況(要更新)'!$C214</f>
        <v/>
      </c>
      <c r="W214" s="26">
        <f>'施設状況(要更新)'!$F214</f>
        <v>0</v>
      </c>
      <c r="X214" s="27"/>
      <c r="Y214" s="26"/>
    </row>
    <row r="215" spans="1:25">
      <c r="A215" s="45"/>
      <c r="B215" s="46"/>
      <c r="C215" s="46"/>
      <c r="D215" s="46"/>
      <c r="E215" s="46"/>
      <c r="F215" s="46"/>
      <c r="G215" s="46"/>
      <c r="H215" s="46"/>
      <c r="I215" s="46"/>
      <c r="J215" s="46"/>
      <c r="K215" s="46"/>
      <c r="L215" s="46"/>
      <c r="M215" s="46"/>
      <c r="N215" s="46"/>
      <c r="O215" s="46"/>
      <c r="P215" s="46"/>
      <c r="Q215" s="46"/>
      <c r="R215" s="46">
        <f t="shared" si="13"/>
        <v>0</v>
      </c>
      <c r="S215" s="25">
        <f t="shared" si="14"/>
        <v>0</v>
      </c>
      <c r="T215" s="25">
        <f>COUNTIF($V$4:V215,V215)</f>
        <v>26</v>
      </c>
      <c r="U215" s="25" t="str">
        <f>IF(T215=1,COUNTIF($T$4:T215,1),"")</f>
        <v/>
      </c>
      <c r="V215" s="26" t="str">
        <f>'施設状況(要更新)'!$E215&amp;'施設状況(要更新)'!$C215</f>
        <v/>
      </c>
      <c r="W215" s="26">
        <f>'施設状況(要更新)'!$F215</f>
        <v>0</v>
      </c>
      <c r="X215" s="27"/>
      <c r="Y215" s="26"/>
    </row>
    <row r="216" spans="1:25">
      <c r="A216" s="45"/>
      <c r="B216" s="46"/>
      <c r="C216" s="46"/>
      <c r="D216" s="46"/>
      <c r="E216" s="46"/>
      <c r="F216" s="46"/>
      <c r="G216" s="46"/>
      <c r="H216" s="46"/>
      <c r="I216" s="46"/>
      <c r="J216" s="46"/>
      <c r="K216" s="46"/>
      <c r="L216" s="46"/>
      <c r="M216" s="46"/>
      <c r="N216" s="46"/>
      <c r="O216" s="46"/>
      <c r="P216" s="46"/>
      <c r="Q216" s="46"/>
      <c r="R216" s="46">
        <f t="shared" si="13"/>
        <v>0</v>
      </c>
      <c r="S216" s="25">
        <f t="shared" si="14"/>
        <v>0</v>
      </c>
      <c r="T216" s="25">
        <f>COUNTIF($V$4:V216,V216)</f>
        <v>27</v>
      </c>
      <c r="U216" s="25" t="str">
        <f>IF(T216=1,COUNTIF($T$4:T216,1),"")</f>
        <v/>
      </c>
      <c r="V216" s="26" t="str">
        <f>'施設状況(要更新)'!$E216&amp;'施設状況(要更新)'!$C216</f>
        <v/>
      </c>
      <c r="W216" s="26">
        <f>'施設状況(要更新)'!$F216</f>
        <v>0</v>
      </c>
      <c r="X216" s="27"/>
      <c r="Y216" s="26"/>
    </row>
    <row r="217" spans="1:25">
      <c r="A217" s="45"/>
      <c r="B217" s="46"/>
      <c r="C217" s="46"/>
      <c r="D217" s="46"/>
      <c r="E217" s="46"/>
      <c r="F217" s="46"/>
      <c r="G217" s="46"/>
      <c r="H217" s="46"/>
      <c r="I217" s="46"/>
      <c r="J217" s="46"/>
      <c r="K217" s="46"/>
      <c r="L217" s="46"/>
      <c r="M217" s="46"/>
      <c r="N217" s="46"/>
      <c r="O217" s="46"/>
      <c r="P217" s="46"/>
      <c r="Q217" s="46"/>
      <c r="R217" s="46">
        <f t="shared" si="13"/>
        <v>0</v>
      </c>
      <c r="S217" s="25">
        <f t="shared" si="14"/>
        <v>0</v>
      </c>
      <c r="T217" s="25">
        <f>COUNTIF($V$4:V217,V217)</f>
        <v>28</v>
      </c>
      <c r="U217" s="25" t="str">
        <f>IF(T217=1,COUNTIF($T$4:T217,1),"")</f>
        <v/>
      </c>
      <c r="V217" s="26" t="str">
        <f>'施設状況(要更新)'!$E217&amp;'施設状況(要更新)'!$C217</f>
        <v/>
      </c>
      <c r="W217" s="26">
        <f>'施設状況(要更新)'!$F217</f>
        <v>0</v>
      </c>
      <c r="X217" s="27"/>
      <c r="Y217" s="26"/>
    </row>
    <row r="218" spans="1:25">
      <c r="A218" s="45"/>
      <c r="B218" s="46"/>
      <c r="C218" s="46"/>
      <c r="D218" s="46"/>
      <c r="E218" s="46"/>
      <c r="F218" s="46"/>
      <c r="G218" s="46"/>
      <c r="H218" s="46"/>
      <c r="I218" s="46"/>
      <c r="J218" s="46"/>
      <c r="K218" s="46"/>
      <c r="L218" s="46"/>
      <c r="M218" s="46"/>
      <c r="N218" s="46"/>
      <c r="O218" s="46"/>
      <c r="P218" s="46"/>
      <c r="Q218" s="46"/>
      <c r="R218" s="46">
        <f t="shared" si="13"/>
        <v>0</v>
      </c>
      <c r="S218" s="25">
        <f t="shared" si="14"/>
        <v>0</v>
      </c>
      <c r="T218" s="25">
        <f>COUNTIF($V$4:V218,V218)</f>
        <v>29</v>
      </c>
      <c r="U218" s="25" t="str">
        <f>IF(T218=1,COUNTIF($T$4:T218,1),"")</f>
        <v/>
      </c>
      <c r="V218" s="26" t="str">
        <f>'施設状況(要更新)'!$E218&amp;'施設状況(要更新)'!$C218</f>
        <v/>
      </c>
      <c r="W218" s="26">
        <f>'施設状況(要更新)'!$F218</f>
        <v>0</v>
      </c>
      <c r="X218" s="27"/>
      <c r="Y218" s="26"/>
    </row>
    <row r="219" spans="1:25">
      <c r="A219" s="45"/>
      <c r="B219" s="46"/>
      <c r="C219" s="46"/>
      <c r="D219" s="46"/>
      <c r="E219" s="46"/>
      <c r="F219" s="46"/>
      <c r="G219" s="46"/>
      <c r="H219" s="46"/>
      <c r="I219" s="46"/>
      <c r="J219" s="46"/>
      <c r="K219" s="46"/>
      <c r="L219" s="46"/>
      <c r="M219" s="46"/>
      <c r="N219" s="46"/>
      <c r="O219" s="46"/>
      <c r="P219" s="46"/>
      <c r="Q219" s="46"/>
      <c r="R219" s="46">
        <f t="shared" si="13"/>
        <v>0</v>
      </c>
      <c r="S219" s="25">
        <f t="shared" si="14"/>
        <v>0</v>
      </c>
      <c r="T219" s="25">
        <f>COUNTIF($V$4:V219,V219)</f>
        <v>30</v>
      </c>
      <c r="U219" s="25" t="str">
        <f>IF(T219=1,COUNTIF($T$4:T219,1),"")</f>
        <v/>
      </c>
      <c r="V219" s="26" t="str">
        <f>'施設状況(要更新)'!$E219&amp;'施設状況(要更新)'!$C219</f>
        <v/>
      </c>
      <c r="W219" s="26">
        <f>'施設状況(要更新)'!$F219</f>
        <v>0</v>
      </c>
      <c r="X219" s="27"/>
      <c r="Y219" s="26"/>
    </row>
    <row r="220" spans="1:25">
      <c r="A220" s="45"/>
      <c r="B220" s="46"/>
      <c r="C220" s="46"/>
      <c r="D220" s="46"/>
      <c r="E220" s="46"/>
      <c r="F220" s="46"/>
      <c r="G220" s="46"/>
      <c r="H220" s="46"/>
      <c r="I220" s="46"/>
      <c r="J220" s="46"/>
      <c r="K220" s="46"/>
      <c r="L220" s="46"/>
      <c r="M220" s="46"/>
      <c r="N220" s="46"/>
      <c r="O220" s="46"/>
      <c r="P220" s="46"/>
      <c r="Q220" s="46"/>
      <c r="R220" s="46">
        <f t="shared" si="13"/>
        <v>0</v>
      </c>
      <c r="S220" s="25">
        <f t="shared" si="14"/>
        <v>0</v>
      </c>
      <c r="T220" s="25">
        <f>COUNTIF($V$4:V220,V220)</f>
        <v>31</v>
      </c>
      <c r="U220" s="25" t="str">
        <f>IF(T220=1,COUNTIF($T$4:T220,1),"")</f>
        <v/>
      </c>
      <c r="V220" s="26" t="str">
        <f>'施設状況(要更新)'!$E220&amp;'施設状況(要更新)'!$C220</f>
        <v/>
      </c>
      <c r="W220" s="26">
        <f>'施設状況(要更新)'!$F220</f>
        <v>0</v>
      </c>
      <c r="X220" s="27"/>
      <c r="Y220" s="26"/>
    </row>
    <row r="221" spans="1:25">
      <c r="A221" s="45"/>
      <c r="B221" s="46"/>
      <c r="C221" s="46"/>
      <c r="D221" s="46"/>
      <c r="E221" s="46"/>
      <c r="F221" s="46"/>
      <c r="G221" s="46"/>
      <c r="H221" s="46"/>
      <c r="I221" s="46"/>
      <c r="J221" s="46"/>
      <c r="K221" s="46"/>
      <c r="L221" s="46"/>
      <c r="M221" s="46"/>
      <c r="N221" s="46"/>
      <c r="O221" s="46"/>
      <c r="P221" s="46"/>
      <c r="Q221" s="46"/>
      <c r="R221" s="46">
        <f t="shared" si="13"/>
        <v>0</v>
      </c>
      <c r="S221" s="25">
        <f t="shared" si="14"/>
        <v>0</v>
      </c>
      <c r="T221" s="25">
        <f>COUNTIF($V$4:V221,V221)</f>
        <v>32</v>
      </c>
      <c r="U221" s="25" t="str">
        <f>IF(T221=1,COUNTIF($T$4:T221,1),"")</f>
        <v/>
      </c>
      <c r="V221" s="26" t="str">
        <f>'施設状況(要更新)'!$E221&amp;'施設状況(要更新)'!$C221</f>
        <v/>
      </c>
      <c r="W221" s="26">
        <f>'施設状況(要更新)'!$F221</f>
        <v>0</v>
      </c>
      <c r="X221" s="27"/>
      <c r="Y221" s="26"/>
    </row>
    <row r="222" spans="1:25">
      <c r="A222" s="45"/>
      <c r="B222" s="46"/>
      <c r="C222" s="46"/>
      <c r="D222" s="46"/>
      <c r="E222" s="46"/>
      <c r="F222" s="46"/>
      <c r="G222" s="46"/>
      <c r="H222" s="46"/>
      <c r="I222" s="46"/>
      <c r="J222" s="46"/>
      <c r="K222" s="46"/>
      <c r="L222" s="46"/>
      <c r="M222" s="46"/>
      <c r="N222" s="46"/>
      <c r="O222" s="46"/>
      <c r="P222" s="46"/>
      <c r="Q222" s="46"/>
      <c r="R222" s="46">
        <f t="shared" si="13"/>
        <v>0</v>
      </c>
      <c r="S222" s="25">
        <f t="shared" si="14"/>
        <v>0</v>
      </c>
      <c r="T222" s="25">
        <f>COUNTIF($V$4:V222,V222)</f>
        <v>33</v>
      </c>
      <c r="U222" s="25" t="str">
        <f>IF(T222=1,COUNTIF($T$4:T222,1),"")</f>
        <v/>
      </c>
      <c r="V222" s="26" t="str">
        <f>'施設状況(要更新)'!$E222&amp;'施設状況(要更新)'!$C222</f>
        <v/>
      </c>
      <c r="W222" s="26">
        <f>'施設状況(要更新)'!$F222</f>
        <v>0</v>
      </c>
      <c r="X222" s="27"/>
      <c r="Y222" s="26"/>
    </row>
    <row r="223" spans="1:25">
      <c r="A223" s="45"/>
      <c r="B223" s="46"/>
      <c r="C223" s="46"/>
      <c r="D223" s="46"/>
      <c r="E223" s="46"/>
      <c r="F223" s="46"/>
      <c r="G223" s="46"/>
      <c r="H223" s="46"/>
      <c r="I223" s="46"/>
      <c r="J223" s="46"/>
      <c r="K223" s="46"/>
      <c r="L223" s="46"/>
      <c r="M223" s="46"/>
      <c r="N223" s="46"/>
      <c r="O223" s="46"/>
      <c r="P223" s="46"/>
      <c r="Q223" s="46"/>
      <c r="R223" s="46">
        <f t="shared" si="13"/>
        <v>0</v>
      </c>
      <c r="S223" s="25">
        <f t="shared" si="14"/>
        <v>0</v>
      </c>
      <c r="T223" s="25">
        <f>COUNTIF($V$4:V223,V223)</f>
        <v>34</v>
      </c>
      <c r="U223" s="25" t="str">
        <f>IF(T223=1,COUNTIF($T$4:T223,1),"")</f>
        <v/>
      </c>
      <c r="V223" s="26" t="str">
        <f>'施設状況(要更新)'!$E223&amp;'施設状況(要更新)'!$C223</f>
        <v/>
      </c>
      <c r="W223" s="26">
        <f>'施設状況(要更新)'!$F223</f>
        <v>0</v>
      </c>
      <c r="X223" s="27"/>
      <c r="Y223" s="26"/>
    </row>
    <row r="224" spans="1:25">
      <c r="A224" s="45"/>
      <c r="B224" s="46"/>
      <c r="C224" s="46"/>
      <c r="D224" s="46"/>
      <c r="E224" s="46"/>
      <c r="F224" s="46"/>
      <c r="G224" s="46"/>
      <c r="H224" s="46"/>
      <c r="I224" s="46"/>
      <c r="J224" s="46"/>
      <c r="K224" s="46"/>
      <c r="L224" s="46"/>
      <c r="M224" s="46"/>
      <c r="N224" s="46"/>
      <c r="O224" s="46"/>
      <c r="P224" s="46"/>
      <c r="Q224" s="46"/>
      <c r="R224" s="46">
        <f t="shared" si="13"/>
        <v>0</v>
      </c>
      <c r="S224" s="25">
        <f t="shared" si="14"/>
        <v>0</v>
      </c>
      <c r="T224" s="25">
        <f>COUNTIF($V$4:V224,V224)</f>
        <v>35</v>
      </c>
      <c r="U224" s="25" t="str">
        <f>IF(T224=1,COUNTIF($T$4:T224,1),"")</f>
        <v/>
      </c>
      <c r="V224" s="26" t="str">
        <f>'施設状況(要更新)'!$E224&amp;'施設状況(要更新)'!$C224</f>
        <v/>
      </c>
      <c r="W224" s="26">
        <f>'施設状況(要更新)'!$F224</f>
        <v>0</v>
      </c>
      <c r="X224" s="27"/>
      <c r="Y224" s="26"/>
    </row>
    <row r="225" spans="1:25">
      <c r="A225" s="45"/>
      <c r="B225" s="46"/>
      <c r="C225" s="46"/>
      <c r="D225" s="46"/>
      <c r="E225" s="46"/>
      <c r="F225" s="46"/>
      <c r="G225" s="46"/>
      <c r="H225" s="46"/>
      <c r="I225" s="46"/>
      <c r="J225" s="46"/>
      <c r="K225" s="46"/>
      <c r="L225" s="46"/>
      <c r="M225" s="46"/>
      <c r="N225" s="46"/>
      <c r="O225" s="46"/>
      <c r="P225" s="46"/>
      <c r="Q225" s="46"/>
      <c r="R225" s="46">
        <f t="shared" si="13"/>
        <v>0</v>
      </c>
      <c r="S225" s="25">
        <f t="shared" si="14"/>
        <v>0</v>
      </c>
      <c r="T225" s="25">
        <f>COUNTIF($V$4:V225,V225)</f>
        <v>36</v>
      </c>
      <c r="U225" s="25" t="str">
        <f>IF(T225=1,COUNTIF($T$4:T225,1),"")</f>
        <v/>
      </c>
      <c r="V225" s="26" t="str">
        <f>'施設状況(要更新)'!$E225&amp;'施設状況(要更新)'!$C225</f>
        <v/>
      </c>
      <c r="W225" s="26">
        <f>'施設状況(要更新)'!$F225</f>
        <v>0</v>
      </c>
      <c r="X225" s="27"/>
      <c r="Y225" s="26"/>
    </row>
    <row r="226" spans="1:25">
      <c r="A226" s="45"/>
      <c r="B226" s="46"/>
      <c r="C226" s="46"/>
      <c r="D226" s="46"/>
      <c r="E226" s="46"/>
      <c r="F226" s="46"/>
      <c r="G226" s="46"/>
      <c r="H226" s="46"/>
      <c r="I226" s="46"/>
      <c r="J226" s="46"/>
      <c r="K226" s="46"/>
      <c r="L226" s="46"/>
      <c r="M226" s="46"/>
      <c r="N226" s="46"/>
      <c r="O226" s="46"/>
      <c r="P226" s="46"/>
      <c r="Q226" s="46"/>
      <c r="R226" s="46">
        <f t="shared" si="13"/>
        <v>0</v>
      </c>
      <c r="S226" s="25">
        <f t="shared" si="14"/>
        <v>0</v>
      </c>
      <c r="T226" s="25">
        <f>COUNTIF($V$4:V226,V226)</f>
        <v>37</v>
      </c>
      <c r="U226" s="25" t="str">
        <f>IF(T226=1,COUNTIF($T$4:T226,1),"")</f>
        <v/>
      </c>
      <c r="V226" s="26" t="str">
        <f>'施設状況(要更新)'!$E226&amp;'施設状況(要更新)'!$C226</f>
        <v/>
      </c>
      <c r="W226" s="26">
        <f>'施設状況(要更新)'!$F226</f>
        <v>0</v>
      </c>
      <c r="X226" s="27"/>
      <c r="Y226" s="26"/>
    </row>
    <row r="227" spans="1:25">
      <c r="A227" s="45"/>
      <c r="B227" s="46"/>
      <c r="C227" s="46"/>
      <c r="D227" s="46"/>
      <c r="E227" s="46"/>
      <c r="F227" s="46"/>
      <c r="G227" s="46"/>
      <c r="H227" s="46"/>
      <c r="I227" s="46"/>
      <c r="J227" s="46"/>
      <c r="K227" s="46"/>
      <c r="L227" s="46"/>
      <c r="M227" s="46"/>
      <c r="N227" s="46"/>
      <c r="O227" s="46"/>
      <c r="P227" s="46"/>
      <c r="Q227" s="46"/>
      <c r="R227" s="46">
        <f t="shared" si="13"/>
        <v>0</v>
      </c>
      <c r="S227" s="25">
        <f t="shared" si="14"/>
        <v>0</v>
      </c>
      <c r="T227" s="25">
        <f>COUNTIF($V$4:V227,V227)</f>
        <v>38</v>
      </c>
      <c r="U227" s="25" t="str">
        <f>IF(T227=1,COUNTIF($T$4:T227,1),"")</f>
        <v/>
      </c>
      <c r="V227" s="26" t="str">
        <f>'施設状況(要更新)'!$E227&amp;'施設状況(要更新)'!$C227</f>
        <v/>
      </c>
      <c r="W227" s="26">
        <f>'施設状況(要更新)'!$F227</f>
        <v>0</v>
      </c>
      <c r="X227" s="27"/>
      <c r="Y227" s="26"/>
    </row>
    <row r="228" spans="1:25">
      <c r="A228" s="45"/>
      <c r="B228" s="46"/>
      <c r="C228" s="46"/>
      <c r="D228" s="46"/>
      <c r="E228" s="46"/>
      <c r="F228" s="46"/>
      <c r="G228" s="46"/>
      <c r="H228" s="46"/>
      <c r="I228" s="46"/>
      <c r="J228" s="46"/>
      <c r="K228" s="46"/>
      <c r="L228" s="46"/>
      <c r="M228" s="46"/>
      <c r="N228" s="46"/>
      <c r="O228" s="46"/>
      <c r="P228" s="46"/>
      <c r="Q228" s="46"/>
      <c r="R228" s="46">
        <f t="shared" si="13"/>
        <v>0</v>
      </c>
      <c r="S228" s="25">
        <f t="shared" si="14"/>
        <v>0</v>
      </c>
      <c r="T228" s="25">
        <f>COUNTIF($V$4:V228,V228)</f>
        <v>39</v>
      </c>
      <c r="U228" s="25" t="str">
        <f>IF(T228=1,COUNTIF($T$4:T228,1),"")</f>
        <v/>
      </c>
      <c r="V228" s="26" t="str">
        <f>'施設状況(要更新)'!$E228&amp;'施設状況(要更新)'!$C228</f>
        <v/>
      </c>
      <c r="W228" s="26">
        <f>'施設状況(要更新)'!$F228</f>
        <v>0</v>
      </c>
      <c r="X228" s="27"/>
      <c r="Y228" s="26"/>
    </row>
    <row r="229" spans="1:25">
      <c r="A229" s="45"/>
      <c r="B229" s="46"/>
      <c r="C229" s="46"/>
      <c r="D229" s="46"/>
      <c r="E229" s="46"/>
      <c r="F229" s="46"/>
      <c r="G229" s="46"/>
      <c r="H229" s="46"/>
      <c r="I229" s="46"/>
      <c r="J229" s="46"/>
      <c r="K229" s="46"/>
      <c r="L229" s="46"/>
      <c r="M229" s="46"/>
      <c r="N229" s="46"/>
      <c r="O229" s="46"/>
      <c r="P229" s="46"/>
      <c r="Q229" s="46"/>
      <c r="R229" s="46">
        <f t="shared" si="13"/>
        <v>0</v>
      </c>
      <c r="S229" s="25">
        <f t="shared" si="14"/>
        <v>0</v>
      </c>
      <c r="T229" s="25">
        <f>COUNTIF($V$4:V229,V229)</f>
        <v>40</v>
      </c>
      <c r="U229" s="25" t="str">
        <f>IF(T229=1,COUNTIF($T$4:T229,1),"")</f>
        <v/>
      </c>
      <c r="V229" s="26" t="str">
        <f>'施設状況(要更新)'!$E229&amp;'施設状況(要更新)'!$C229</f>
        <v/>
      </c>
      <c r="W229" s="26">
        <f>'施設状況(要更新)'!$F229</f>
        <v>0</v>
      </c>
      <c r="X229" s="27"/>
      <c r="Y229" s="26"/>
    </row>
    <row r="230" spans="1:25">
      <c r="A230" s="45"/>
      <c r="B230" s="46"/>
      <c r="C230" s="46"/>
      <c r="D230" s="46"/>
      <c r="E230" s="46"/>
      <c r="F230" s="46"/>
      <c r="G230" s="46"/>
      <c r="H230" s="46"/>
      <c r="I230" s="46"/>
      <c r="J230" s="46"/>
      <c r="K230" s="46"/>
      <c r="L230" s="46"/>
      <c r="M230" s="46"/>
      <c r="N230" s="46"/>
      <c r="O230" s="46"/>
      <c r="P230" s="46"/>
      <c r="Q230" s="46"/>
      <c r="R230" s="46">
        <f t="shared" si="13"/>
        <v>0</v>
      </c>
      <c r="S230" s="25">
        <f t="shared" si="14"/>
        <v>0</v>
      </c>
      <c r="T230" s="25">
        <f>COUNTIF($V$4:V230,V230)</f>
        <v>41</v>
      </c>
      <c r="U230" s="25" t="str">
        <f>IF(T230=1,COUNTIF($T$4:T230,1),"")</f>
        <v/>
      </c>
      <c r="V230" s="26" t="str">
        <f>'施設状況(要更新)'!$E230&amp;'施設状況(要更新)'!$C230</f>
        <v/>
      </c>
      <c r="W230" s="26">
        <f>'施設状況(要更新)'!$F230</f>
        <v>0</v>
      </c>
      <c r="X230" s="27"/>
      <c r="Y230" s="26"/>
    </row>
    <row r="231" spans="1:25">
      <c r="A231" s="45"/>
      <c r="B231" s="46"/>
      <c r="C231" s="46"/>
      <c r="D231" s="46"/>
      <c r="E231" s="46"/>
      <c r="F231" s="46"/>
      <c r="G231" s="46"/>
      <c r="H231" s="46"/>
      <c r="I231" s="46"/>
      <c r="J231" s="46"/>
      <c r="K231" s="46"/>
      <c r="L231" s="46"/>
      <c r="M231" s="46"/>
      <c r="N231" s="46"/>
      <c r="O231" s="46"/>
      <c r="P231" s="46"/>
      <c r="Q231" s="46"/>
      <c r="R231" s="46">
        <f t="shared" si="13"/>
        <v>0</v>
      </c>
      <c r="S231" s="25">
        <f t="shared" si="14"/>
        <v>0</v>
      </c>
      <c r="T231" s="25">
        <f>COUNTIF($V$4:V231,V231)</f>
        <v>42</v>
      </c>
      <c r="U231" s="25" t="str">
        <f>IF(T231=1,COUNTIF($T$4:T231,1),"")</f>
        <v/>
      </c>
      <c r="V231" s="26" t="str">
        <f>'施設状況(要更新)'!$E231&amp;'施設状況(要更新)'!$C231</f>
        <v/>
      </c>
      <c r="W231" s="26">
        <f>'施設状況(要更新)'!$F231</f>
        <v>0</v>
      </c>
      <c r="X231" s="27"/>
      <c r="Y231" s="26"/>
    </row>
    <row r="232" spans="1:25">
      <c r="A232" s="45"/>
      <c r="B232" s="46"/>
      <c r="C232" s="46"/>
      <c r="D232" s="46"/>
      <c r="E232" s="46"/>
      <c r="F232" s="46"/>
      <c r="G232" s="46"/>
      <c r="H232" s="46"/>
      <c r="I232" s="46"/>
      <c r="J232" s="46"/>
      <c r="K232" s="46"/>
      <c r="L232" s="46"/>
      <c r="M232" s="46"/>
      <c r="N232" s="46"/>
      <c r="O232" s="46"/>
      <c r="P232" s="46"/>
      <c r="Q232" s="46"/>
      <c r="R232" s="46">
        <f t="shared" si="13"/>
        <v>0</v>
      </c>
      <c r="S232" s="25">
        <f t="shared" si="14"/>
        <v>0</v>
      </c>
      <c r="T232" s="25">
        <f>COUNTIF($V$4:V232,V232)</f>
        <v>43</v>
      </c>
      <c r="U232" s="25" t="str">
        <f>IF(T232=1,COUNTIF($T$4:T232,1),"")</f>
        <v/>
      </c>
      <c r="V232" s="26" t="str">
        <f>'施設状況(要更新)'!$E232&amp;'施設状況(要更新)'!$C232</f>
        <v/>
      </c>
      <c r="W232" s="26">
        <f>'施設状況(要更新)'!$F232</f>
        <v>0</v>
      </c>
      <c r="X232" s="27"/>
      <c r="Y232" s="26"/>
    </row>
    <row r="233" spans="1:25">
      <c r="A233" s="45"/>
      <c r="B233" s="46"/>
      <c r="C233" s="46"/>
      <c r="D233" s="46"/>
      <c r="E233" s="46"/>
      <c r="F233" s="46"/>
      <c r="G233" s="46"/>
      <c r="H233" s="46"/>
      <c r="I233" s="46"/>
      <c r="J233" s="46"/>
      <c r="K233" s="46"/>
      <c r="L233" s="46"/>
      <c r="M233" s="46"/>
      <c r="N233" s="46"/>
      <c r="O233" s="46"/>
      <c r="P233" s="46"/>
      <c r="Q233" s="46"/>
      <c r="R233" s="46"/>
      <c r="S233" s="25">
        <f t="shared" si="14"/>
        <v>0</v>
      </c>
      <c r="T233" s="25">
        <f>COUNTIF($V$4:V233,V233)</f>
        <v>44</v>
      </c>
      <c r="U233" s="25" t="str">
        <f>IF(T233=1,COUNTIF($T$4:T233,1),"")</f>
        <v/>
      </c>
      <c r="V233" s="26" t="str">
        <f>'施設状況(要更新)'!$E233&amp;'施設状況(要更新)'!$C233</f>
        <v/>
      </c>
      <c r="W233" s="26">
        <f>'施設状況(要更新)'!$F233</f>
        <v>0</v>
      </c>
      <c r="X233" s="27"/>
      <c r="Y233" s="26"/>
    </row>
    <row r="234" spans="1:25">
      <c r="A234" s="32"/>
      <c r="B234" s="24"/>
      <c r="C234" s="24"/>
      <c r="D234" s="24"/>
      <c r="E234" s="24"/>
      <c r="F234" s="24"/>
      <c r="G234" s="24"/>
      <c r="H234" s="24"/>
      <c r="I234" s="24"/>
      <c r="J234" s="24"/>
      <c r="K234" s="24"/>
      <c r="L234" s="24"/>
      <c r="M234" s="24"/>
      <c r="N234" s="24"/>
      <c r="O234" s="24"/>
      <c r="P234" s="24"/>
      <c r="Q234" s="24"/>
      <c r="R234" s="24"/>
      <c r="S234" s="25">
        <f t="shared" si="14"/>
        <v>0</v>
      </c>
      <c r="T234" s="25">
        <f>COUNTIF($V$4:V234,V234)</f>
        <v>45</v>
      </c>
      <c r="U234" s="25" t="str">
        <f>IF(T234=1,COUNTIF($T$4:T234,1),"")</f>
        <v/>
      </c>
      <c r="V234" s="26" t="str">
        <f>'施設状況(要更新)'!$E234&amp;'施設状況(要更新)'!$C234</f>
        <v/>
      </c>
      <c r="W234" s="26">
        <f>'施設状況(要更新)'!$F234</f>
        <v>0</v>
      </c>
      <c r="X234" s="27"/>
      <c r="Y234" s="26"/>
    </row>
    <row r="235" spans="1:25">
      <c r="A235" s="32"/>
      <c r="B235" s="24"/>
      <c r="C235" s="24"/>
      <c r="D235" s="24"/>
      <c r="E235" s="24"/>
      <c r="F235" s="24"/>
      <c r="G235" s="24"/>
      <c r="H235" s="24"/>
      <c r="I235" s="24"/>
      <c r="J235" s="24"/>
      <c r="K235" s="24"/>
      <c r="L235" s="24"/>
      <c r="M235" s="24"/>
      <c r="N235" s="24"/>
      <c r="O235" s="24"/>
      <c r="P235" s="24"/>
      <c r="Q235" s="24"/>
      <c r="R235" s="24"/>
      <c r="S235" s="25">
        <f t="shared" si="14"/>
        <v>0</v>
      </c>
      <c r="T235" s="25">
        <f>COUNTIF($V$4:V235,V235)</f>
        <v>46</v>
      </c>
      <c r="U235" s="25" t="str">
        <f>IF(T235=1,COUNTIF($T$4:T235,1),"")</f>
        <v/>
      </c>
      <c r="V235" s="26" t="str">
        <f>'施設状況(要更新)'!$E235&amp;'施設状況(要更新)'!$C235</f>
        <v/>
      </c>
      <c r="W235" s="26">
        <f>'施設状況(要更新)'!$F235</f>
        <v>0</v>
      </c>
      <c r="X235" s="27"/>
      <c r="Y235" s="26"/>
    </row>
    <row r="236" spans="1:25">
      <c r="A236" s="32"/>
      <c r="B236" s="24"/>
      <c r="C236" s="24"/>
      <c r="D236" s="24"/>
      <c r="E236" s="24"/>
      <c r="F236" s="24"/>
      <c r="G236" s="24"/>
      <c r="H236" s="24"/>
      <c r="I236" s="24"/>
      <c r="J236" s="24"/>
      <c r="K236" s="24"/>
      <c r="L236" s="24"/>
      <c r="M236" s="24"/>
      <c r="N236" s="24"/>
      <c r="O236" s="24"/>
      <c r="P236" s="24"/>
      <c r="Q236" s="24"/>
      <c r="R236" s="24"/>
      <c r="S236" s="25">
        <f t="shared" si="14"/>
        <v>0</v>
      </c>
      <c r="T236" s="25">
        <f>COUNTIF($V$4:V236,V236)</f>
        <v>47</v>
      </c>
      <c r="U236" s="25" t="str">
        <f>IF(T236=1,COUNTIF($T$4:T236,1),"")</f>
        <v/>
      </c>
      <c r="V236" s="26" t="str">
        <f>'施設状況(要更新)'!$E236&amp;'施設状況(要更新)'!$C236</f>
        <v/>
      </c>
      <c r="W236" s="26">
        <f>'施設状況(要更新)'!$F236</f>
        <v>0</v>
      </c>
      <c r="X236" s="27"/>
      <c r="Y236" s="26"/>
    </row>
    <row r="237" spans="1:25">
      <c r="A237" s="32"/>
      <c r="B237" s="24"/>
      <c r="C237" s="24"/>
      <c r="D237" s="24"/>
      <c r="E237" s="24"/>
      <c r="F237" s="24"/>
      <c r="G237" s="24"/>
      <c r="H237" s="24"/>
      <c r="I237" s="24"/>
      <c r="J237" s="24"/>
      <c r="K237" s="24"/>
      <c r="L237" s="24"/>
      <c r="M237" s="24"/>
      <c r="N237" s="24"/>
      <c r="O237" s="24"/>
      <c r="P237" s="24"/>
      <c r="Q237" s="24"/>
      <c r="R237" s="24"/>
      <c r="S237" s="25">
        <f t="shared" si="14"/>
        <v>0</v>
      </c>
      <c r="T237" s="25">
        <f>COUNTIF($V$4:V237,V237)</f>
        <v>48</v>
      </c>
      <c r="U237" s="25" t="str">
        <f>IF(T237=1,COUNTIF($T$4:T237,1),"")</f>
        <v/>
      </c>
      <c r="V237" s="26" t="str">
        <f>'施設状況(要更新)'!$E237&amp;'施設状況(要更新)'!$C237</f>
        <v/>
      </c>
      <c r="W237" s="26">
        <f>'施設状況(要更新)'!$F237</f>
        <v>0</v>
      </c>
      <c r="X237" s="27"/>
      <c r="Y237" s="26"/>
    </row>
    <row r="238" spans="1:25">
      <c r="A238" s="32"/>
      <c r="B238" s="24"/>
      <c r="C238" s="24"/>
      <c r="D238" s="24"/>
      <c r="E238" s="24"/>
      <c r="F238" s="24"/>
      <c r="G238" s="24"/>
      <c r="H238" s="24"/>
      <c r="I238" s="24"/>
      <c r="J238" s="24"/>
      <c r="K238" s="24"/>
      <c r="L238" s="24"/>
      <c r="M238" s="24"/>
      <c r="N238" s="24"/>
      <c r="O238" s="24"/>
      <c r="P238" s="24"/>
      <c r="Q238" s="24"/>
      <c r="R238" s="24"/>
      <c r="S238" s="25">
        <f t="shared" si="14"/>
        <v>0</v>
      </c>
      <c r="T238" s="25">
        <f>COUNTIF($V$4:V238,V238)</f>
        <v>49</v>
      </c>
      <c r="U238" s="25" t="str">
        <f>IF(T238=1,COUNTIF($T$4:T238,1),"")</f>
        <v/>
      </c>
      <c r="V238" s="26" t="str">
        <f>'施設状況(要更新)'!$E238&amp;'施設状況(要更新)'!$C238</f>
        <v/>
      </c>
      <c r="W238" s="26">
        <f>'施設状況(要更新)'!$F238</f>
        <v>0</v>
      </c>
      <c r="X238" s="27"/>
      <c r="Y238" s="26"/>
    </row>
    <row r="239" spans="1:25">
      <c r="A239" s="32"/>
      <c r="B239" s="24"/>
      <c r="C239" s="24"/>
      <c r="D239" s="24"/>
      <c r="E239" s="24"/>
      <c r="F239" s="24"/>
      <c r="G239" s="24"/>
      <c r="H239" s="24"/>
      <c r="I239" s="24"/>
      <c r="J239" s="24"/>
      <c r="K239" s="24"/>
      <c r="L239" s="24"/>
      <c r="M239" s="24"/>
      <c r="N239" s="24"/>
      <c r="O239" s="24"/>
      <c r="P239" s="24"/>
      <c r="Q239" s="24"/>
      <c r="R239" s="24"/>
      <c r="S239" s="25">
        <f t="shared" ref="S239:S302" si="15">A239</f>
        <v>0</v>
      </c>
      <c r="T239" s="25">
        <f>COUNTIF($V$4:V239,V239)</f>
        <v>50</v>
      </c>
      <c r="U239" s="25" t="str">
        <f>IF(T239=1,COUNTIF($T$4:T239,1),"")</f>
        <v/>
      </c>
      <c r="V239" s="26" t="str">
        <f>'施設状況(要更新)'!$E239&amp;'施設状況(要更新)'!$C239</f>
        <v/>
      </c>
      <c r="W239" s="26">
        <f>'施設状況(要更新)'!$F239</f>
        <v>0</v>
      </c>
      <c r="X239" s="27"/>
      <c r="Y239" s="26"/>
    </row>
    <row r="240" spans="1:25">
      <c r="A240" s="32"/>
      <c r="B240" s="24"/>
      <c r="C240" s="24"/>
      <c r="D240" s="24"/>
      <c r="E240" s="24"/>
      <c r="F240" s="24"/>
      <c r="G240" s="24"/>
      <c r="H240" s="24"/>
      <c r="I240" s="24"/>
      <c r="J240" s="24"/>
      <c r="K240" s="24"/>
      <c r="L240" s="24"/>
      <c r="M240" s="24"/>
      <c r="N240" s="24"/>
      <c r="O240" s="24"/>
      <c r="P240" s="24"/>
      <c r="Q240" s="24"/>
      <c r="R240" s="24"/>
      <c r="S240" s="25">
        <f t="shared" si="15"/>
        <v>0</v>
      </c>
      <c r="T240" s="25">
        <f>COUNTIF($V$4:V240,V240)</f>
        <v>51</v>
      </c>
      <c r="U240" s="25" t="str">
        <f>IF(T240=1,COUNTIF($T$4:T240,1),"")</f>
        <v/>
      </c>
      <c r="V240" s="26" t="str">
        <f>'施設状況(要更新)'!$E240&amp;'施設状況(要更新)'!$C240</f>
        <v/>
      </c>
      <c r="W240" s="26">
        <f>'施設状況(要更新)'!$F240</f>
        <v>0</v>
      </c>
      <c r="X240" s="27"/>
      <c r="Y240" s="26"/>
    </row>
    <row r="241" spans="1:25">
      <c r="A241" s="32"/>
      <c r="B241" s="24"/>
      <c r="C241" s="24"/>
      <c r="D241" s="24"/>
      <c r="E241" s="24"/>
      <c r="F241" s="24"/>
      <c r="G241" s="24"/>
      <c r="H241" s="24"/>
      <c r="I241" s="24"/>
      <c r="J241" s="24"/>
      <c r="K241" s="24"/>
      <c r="L241" s="24"/>
      <c r="M241" s="24"/>
      <c r="N241" s="24"/>
      <c r="O241" s="24"/>
      <c r="P241" s="24"/>
      <c r="Q241" s="24"/>
      <c r="R241" s="24"/>
      <c r="S241" s="25">
        <f t="shared" si="15"/>
        <v>0</v>
      </c>
      <c r="T241" s="25">
        <f>COUNTIF($V$4:V241,V241)</f>
        <v>52</v>
      </c>
      <c r="U241" s="25" t="str">
        <f>IF(T241=1,COUNTIF($T$4:T241,1),"")</f>
        <v/>
      </c>
      <c r="V241" s="26" t="str">
        <f>'施設状況(要更新)'!$E241&amp;'施設状況(要更新)'!$C241</f>
        <v/>
      </c>
      <c r="W241" s="26">
        <f>'施設状況(要更新)'!$F241</f>
        <v>0</v>
      </c>
      <c r="X241" s="27"/>
      <c r="Y241" s="26"/>
    </row>
    <row r="242" spans="1:25">
      <c r="A242" s="32"/>
      <c r="B242" s="24"/>
      <c r="C242" s="24"/>
      <c r="D242" s="24"/>
      <c r="E242" s="24"/>
      <c r="F242" s="24"/>
      <c r="G242" s="24"/>
      <c r="H242" s="24"/>
      <c r="I242" s="24"/>
      <c r="J242" s="24"/>
      <c r="K242" s="24"/>
      <c r="L242" s="24"/>
      <c r="M242" s="24"/>
      <c r="N242" s="24"/>
      <c r="O242" s="24"/>
      <c r="P242" s="24"/>
      <c r="Q242" s="24"/>
      <c r="R242" s="24"/>
      <c r="S242" s="25">
        <f t="shared" si="15"/>
        <v>0</v>
      </c>
      <c r="T242" s="25">
        <f>COUNTIF($V$4:V242,V242)</f>
        <v>53</v>
      </c>
      <c r="U242" s="25" t="str">
        <f>IF(T242=1,COUNTIF($T$4:T242,1),"")</f>
        <v/>
      </c>
      <c r="V242" s="26" t="str">
        <f>'施設状況(要更新)'!$E242&amp;'施設状況(要更新)'!$C242</f>
        <v/>
      </c>
      <c r="W242" s="26">
        <f>'施設状況(要更新)'!$F242</f>
        <v>0</v>
      </c>
      <c r="X242" s="27"/>
      <c r="Y242" s="26"/>
    </row>
    <row r="243" spans="1:25">
      <c r="A243" s="32"/>
      <c r="B243" s="24"/>
      <c r="C243" s="24"/>
      <c r="D243" s="24"/>
      <c r="E243" s="24"/>
      <c r="F243" s="24"/>
      <c r="G243" s="24"/>
      <c r="H243" s="24"/>
      <c r="I243" s="24"/>
      <c r="J243" s="24"/>
      <c r="K243" s="24"/>
      <c r="L243" s="24"/>
      <c r="M243" s="24"/>
      <c r="N243" s="24"/>
      <c r="O243" s="24"/>
      <c r="P243" s="24"/>
      <c r="Q243" s="24"/>
      <c r="R243" s="24"/>
      <c r="S243" s="25">
        <f t="shared" si="15"/>
        <v>0</v>
      </c>
      <c r="T243" s="25">
        <f>COUNTIF($V$4:V243,V243)</f>
        <v>54</v>
      </c>
      <c r="U243" s="25" t="str">
        <f>IF(T243=1,COUNTIF($T$4:T243,1),"")</f>
        <v/>
      </c>
      <c r="V243" s="26" t="str">
        <f>'施設状況(要更新)'!$E243&amp;'施設状況(要更新)'!$C243</f>
        <v/>
      </c>
      <c r="W243" s="26">
        <f>'施設状況(要更新)'!$F243</f>
        <v>0</v>
      </c>
      <c r="X243" s="27"/>
      <c r="Y243" s="26"/>
    </row>
    <row r="244" spans="1:25">
      <c r="A244" s="32"/>
      <c r="B244" s="24"/>
      <c r="C244" s="24"/>
      <c r="D244" s="24"/>
      <c r="E244" s="24"/>
      <c r="F244" s="24"/>
      <c r="G244" s="24"/>
      <c r="H244" s="24"/>
      <c r="I244" s="24"/>
      <c r="J244" s="24"/>
      <c r="K244" s="24"/>
      <c r="L244" s="24"/>
      <c r="M244" s="24"/>
      <c r="N244" s="24"/>
      <c r="O244" s="24"/>
      <c r="P244" s="24"/>
      <c r="Q244" s="24"/>
      <c r="R244" s="24"/>
      <c r="S244" s="25">
        <f t="shared" si="15"/>
        <v>0</v>
      </c>
      <c r="T244" s="25">
        <f>COUNTIF($V$4:V244,V244)</f>
        <v>55</v>
      </c>
      <c r="U244" s="25" t="str">
        <f>IF(T244=1,COUNTIF($T$4:T244,1),"")</f>
        <v/>
      </c>
      <c r="V244" s="26" t="str">
        <f>'施設状況(要更新)'!$E244&amp;'施設状況(要更新)'!$C244</f>
        <v/>
      </c>
      <c r="W244" s="26">
        <f>'施設状況(要更新)'!$F244</f>
        <v>0</v>
      </c>
      <c r="X244" s="27"/>
      <c r="Y244" s="26"/>
    </row>
    <row r="245" spans="1:25">
      <c r="A245" s="32"/>
      <c r="B245" s="24"/>
      <c r="C245" s="24"/>
      <c r="D245" s="24"/>
      <c r="E245" s="24"/>
      <c r="F245" s="24"/>
      <c r="G245" s="24"/>
      <c r="H245" s="24"/>
      <c r="I245" s="24"/>
      <c r="J245" s="24"/>
      <c r="K245" s="24"/>
      <c r="L245" s="24"/>
      <c r="M245" s="24"/>
      <c r="N245" s="24"/>
      <c r="O245" s="24"/>
      <c r="P245" s="24"/>
      <c r="Q245" s="24"/>
      <c r="R245" s="24"/>
      <c r="S245" s="25">
        <f t="shared" si="15"/>
        <v>0</v>
      </c>
      <c r="T245" s="25">
        <f>COUNTIF($V$4:V245,V245)</f>
        <v>56</v>
      </c>
      <c r="U245" s="25" t="str">
        <f>IF(T245=1,COUNTIF($T$4:T245,1),"")</f>
        <v/>
      </c>
      <c r="V245" s="26" t="str">
        <f>'施設状況(要更新)'!$E245&amp;'施設状況(要更新)'!$C245</f>
        <v/>
      </c>
      <c r="W245" s="26">
        <f>'施設状況(要更新)'!$F245</f>
        <v>0</v>
      </c>
      <c r="X245" s="27"/>
      <c r="Y245" s="26"/>
    </row>
    <row r="246" spans="1:25">
      <c r="A246" s="32"/>
      <c r="B246" s="24"/>
      <c r="C246" s="24"/>
      <c r="D246" s="24"/>
      <c r="E246" s="24"/>
      <c r="F246" s="24"/>
      <c r="G246" s="24"/>
      <c r="H246" s="24"/>
      <c r="I246" s="24"/>
      <c r="J246" s="24"/>
      <c r="K246" s="24"/>
      <c r="L246" s="24"/>
      <c r="M246" s="24"/>
      <c r="N246" s="24"/>
      <c r="O246" s="24"/>
      <c r="P246" s="24"/>
      <c r="Q246" s="24"/>
      <c r="R246" s="24"/>
      <c r="S246" s="25">
        <f t="shared" si="15"/>
        <v>0</v>
      </c>
      <c r="T246" s="25">
        <f>COUNTIF($V$4:V246,V246)</f>
        <v>57</v>
      </c>
      <c r="U246" s="25" t="str">
        <f>IF(T246=1,COUNTIF($T$4:T246,1),"")</f>
        <v/>
      </c>
      <c r="V246" s="26" t="str">
        <f>'施設状況(要更新)'!$E246&amp;'施設状況(要更新)'!$C246</f>
        <v/>
      </c>
      <c r="W246" s="26">
        <f>'施設状況(要更新)'!$F246</f>
        <v>0</v>
      </c>
      <c r="X246" s="27"/>
      <c r="Y246" s="26"/>
    </row>
    <row r="247" spans="1:25">
      <c r="A247" s="32"/>
      <c r="B247" s="24"/>
      <c r="C247" s="24"/>
      <c r="D247" s="24"/>
      <c r="E247" s="24"/>
      <c r="F247" s="24"/>
      <c r="G247" s="24"/>
      <c r="H247" s="24"/>
      <c r="I247" s="24"/>
      <c r="J247" s="24"/>
      <c r="K247" s="24"/>
      <c r="L247" s="24"/>
      <c r="M247" s="24"/>
      <c r="N247" s="24"/>
      <c r="O247" s="24"/>
      <c r="P247" s="24"/>
      <c r="Q247" s="24"/>
      <c r="R247" s="24"/>
      <c r="S247" s="25">
        <f t="shared" si="15"/>
        <v>0</v>
      </c>
      <c r="T247" s="25">
        <f>COUNTIF($V$4:V247,V247)</f>
        <v>58</v>
      </c>
      <c r="U247" s="25" t="str">
        <f>IF(T247=1,COUNTIF($T$4:T247,1),"")</f>
        <v/>
      </c>
      <c r="V247" s="26" t="str">
        <f>'施設状況(要更新)'!$E247&amp;'施設状況(要更新)'!$C247</f>
        <v/>
      </c>
      <c r="W247" s="26">
        <f>'施設状況(要更新)'!$F247</f>
        <v>0</v>
      </c>
      <c r="X247" s="27"/>
      <c r="Y247" s="26"/>
    </row>
    <row r="248" spans="1:25">
      <c r="A248" s="32"/>
      <c r="B248" s="24"/>
      <c r="C248" s="24"/>
      <c r="D248" s="24"/>
      <c r="E248" s="24"/>
      <c r="F248" s="24"/>
      <c r="G248" s="24"/>
      <c r="H248" s="24"/>
      <c r="I248" s="24"/>
      <c r="J248" s="24"/>
      <c r="K248" s="24"/>
      <c r="L248" s="24"/>
      <c r="M248" s="24"/>
      <c r="N248" s="24"/>
      <c r="O248" s="24"/>
      <c r="P248" s="24"/>
      <c r="Q248" s="24"/>
      <c r="R248" s="24"/>
      <c r="S248" s="25">
        <f t="shared" si="15"/>
        <v>0</v>
      </c>
      <c r="T248" s="25">
        <f>COUNTIF($V$4:V248,V248)</f>
        <v>59</v>
      </c>
      <c r="U248" s="25" t="str">
        <f>IF(T248=1,COUNTIF($T$4:T248,1),"")</f>
        <v/>
      </c>
      <c r="V248" s="26" t="str">
        <f>'施設状況(要更新)'!$E248&amp;'施設状況(要更新)'!$C248</f>
        <v/>
      </c>
      <c r="W248" s="26">
        <f>'施設状況(要更新)'!$F248</f>
        <v>0</v>
      </c>
      <c r="X248" s="27"/>
      <c r="Y248" s="26"/>
    </row>
    <row r="249" spans="1:25">
      <c r="A249" s="32"/>
      <c r="B249" s="24"/>
      <c r="C249" s="24"/>
      <c r="D249" s="24"/>
      <c r="E249" s="24"/>
      <c r="F249" s="24"/>
      <c r="G249" s="24"/>
      <c r="H249" s="24"/>
      <c r="I249" s="24"/>
      <c r="J249" s="24"/>
      <c r="K249" s="24"/>
      <c r="L249" s="24"/>
      <c r="M249" s="24"/>
      <c r="N249" s="24"/>
      <c r="O249" s="24"/>
      <c r="P249" s="24"/>
      <c r="Q249" s="24"/>
      <c r="R249" s="24"/>
      <c r="S249" s="25">
        <f t="shared" si="15"/>
        <v>0</v>
      </c>
      <c r="T249" s="25">
        <f>COUNTIF($V$4:V249,V249)</f>
        <v>60</v>
      </c>
      <c r="U249" s="25" t="str">
        <f>IF(T249=1,COUNTIF($T$4:T249,1),"")</f>
        <v/>
      </c>
      <c r="V249" s="26" t="str">
        <f>'施設状況(要更新)'!$E249&amp;'施設状況(要更新)'!$C249</f>
        <v/>
      </c>
      <c r="W249" s="26">
        <f>'施設状況(要更新)'!$F249</f>
        <v>0</v>
      </c>
      <c r="X249" s="27"/>
      <c r="Y249" s="26"/>
    </row>
    <row r="250" spans="1:25">
      <c r="A250" s="32"/>
      <c r="B250" s="24"/>
      <c r="C250" s="24"/>
      <c r="D250" s="24"/>
      <c r="E250" s="24"/>
      <c r="F250" s="24"/>
      <c r="G250" s="24"/>
      <c r="H250" s="24"/>
      <c r="I250" s="24"/>
      <c r="J250" s="24"/>
      <c r="K250" s="24"/>
      <c r="L250" s="24"/>
      <c r="M250" s="24"/>
      <c r="N250" s="24"/>
      <c r="O250" s="24"/>
      <c r="P250" s="24"/>
      <c r="Q250" s="24"/>
      <c r="R250" s="24"/>
      <c r="S250" s="25">
        <f t="shared" si="15"/>
        <v>0</v>
      </c>
      <c r="T250" s="25">
        <f>COUNTIF($V$4:V250,V250)</f>
        <v>61</v>
      </c>
      <c r="U250" s="25" t="str">
        <f>IF(T250=1,COUNTIF($T$4:T250,1),"")</f>
        <v/>
      </c>
      <c r="V250" s="26" t="str">
        <f>'施設状況(要更新)'!$E250&amp;'施設状況(要更新)'!$C250</f>
        <v/>
      </c>
      <c r="W250" s="26">
        <f>'施設状況(要更新)'!$F250</f>
        <v>0</v>
      </c>
      <c r="X250" s="27"/>
      <c r="Y250" s="26"/>
    </row>
    <row r="251" spans="1:25">
      <c r="A251" s="32"/>
      <c r="B251" s="24"/>
      <c r="C251" s="24"/>
      <c r="D251" s="24"/>
      <c r="E251" s="24"/>
      <c r="F251" s="24"/>
      <c r="G251" s="24"/>
      <c r="H251" s="24"/>
      <c r="I251" s="24"/>
      <c r="J251" s="24"/>
      <c r="K251" s="24"/>
      <c r="L251" s="24"/>
      <c r="M251" s="24"/>
      <c r="N251" s="24"/>
      <c r="O251" s="24"/>
      <c r="P251" s="24"/>
      <c r="Q251" s="24"/>
      <c r="R251" s="24"/>
      <c r="S251" s="25">
        <f t="shared" si="15"/>
        <v>0</v>
      </c>
      <c r="T251" s="25">
        <f>COUNTIF($V$4:V251,V251)</f>
        <v>62</v>
      </c>
      <c r="U251" s="25" t="str">
        <f>IF(T251=1,COUNTIF($T$4:T251,1),"")</f>
        <v/>
      </c>
      <c r="V251" s="26" t="str">
        <f>'施設状況(要更新)'!$E251&amp;'施設状況(要更新)'!$C251</f>
        <v/>
      </c>
      <c r="W251" s="26">
        <f>'施設状況(要更新)'!$F251</f>
        <v>0</v>
      </c>
      <c r="X251" s="27"/>
      <c r="Y251" s="26"/>
    </row>
    <row r="252" spans="1:25">
      <c r="A252" s="32"/>
      <c r="B252" s="24"/>
      <c r="C252" s="24"/>
      <c r="D252" s="24"/>
      <c r="E252" s="24"/>
      <c r="F252" s="24"/>
      <c r="G252" s="24"/>
      <c r="H252" s="24"/>
      <c r="I252" s="24"/>
      <c r="J252" s="24"/>
      <c r="K252" s="24"/>
      <c r="L252" s="24"/>
      <c r="M252" s="24"/>
      <c r="N252" s="24"/>
      <c r="O252" s="24"/>
      <c r="P252" s="24"/>
      <c r="Q252" s="24"/>
      <c r="R252" s="24"/>
      <c r="S252" s="25">
        <f t="shared" si="15"/>
        <v>0</v>
      </c>
      <c r="T252" s="25">
        <f>COUNTIF($V$4:V252,V252)</f>
        <v>63</v>
      </c>
      <c r="U252" s="25" t="str">
        <f>IF(T252=1,COUNTIF($T$4:T252,1),"")</f>
        <v/>
      </c>
      <c r="V252" s="26" t="str">
        <f>'施設状況(要更新)'!$E252&amp;'施設状況(要更新)'!$C252</f>
        <v/>
      </c>
      <c r="W252" s="26">
        <f>'施設状況(要更新)'!$F252</f>
        <v>0</v>
      </c>
      <c r="X252" s="27"/>
      <c r="Y252" s="26"/>
    </row>
    <row r="253" spans="1:25">
      <c r="A253" s="32"/>
      <c r="B253" s="24"/>
      <c r="C253" s="24"/>
      <c r="D253" s="24"/>
      <c r="E253" s="24"/>
      <c r="F253" s="24"/>
      <c r="G253" s="24"/>
      <c r="H253" s="24"/>
      <c r="I253" s="24"/>
      <c r="J253" s="24"/>
      <c r="K253" s="24"/>
      <c r="L253" s="24"/>
      <c r="M253" s="24"/>
      <c r="N253" s="24"/>
      <c r="O253" s="24"/>
      <c r="P253" s="24"/>
      <c r="Q253" s="24"/>
      <c r="R253" s="24"/>
      <c r="S253" s="25">
        <f t="shared" si="15"/>
        <v>0</v>
      </c>
      <c r="T253" s="25">
        <f>COUNTIF($V$4:V253,V253)</f>
        <v>64</v>
      </c>
      <c r="U253" s="25" t="str">
        <f>IF(T253=1,COUNTIF($T$4:T253,1),"")</f>
        <v/>
      </c>
      <c r="V253" s="26" t="str">
        <f>'施設状況(要更新)'!$E253&amp;'施設状況(要更新)'!$C253</f>
        <v/>
      </c>
      <c r="W253" s="26">
        <f>'施設状況(要更新)'!$F253</f>
        <v>0</v>
      </c>
      <c r="X253" s="27"/>
      <c r="Y253" s="26"/>
    </row>
    <row r="254" spans="1:25">
      <c r="A254" s="32"/>
      <c r="B254" s="24"/>
      <c r="C254" s="24"/>
      <c r="D254" s="24"/>
      <c r="E254" s="24"/>
      <c r="F254" s="24"/>
      <c r="G254" s="24"/>
      <c r="H254" s="24"/>
      <c r="I254" s="24"/>
      <c r="J254" s="24"/>
      <c r="K254" s="24"/>
      <c r="L254" s="24"/>
      <c r="M254" s="24"/>
      <c r="N254" s="24"/>
      <c r="O254" s="24"/>
      <c r="P254" s="24"/>
      <c r="Q254" s="24"/>
      <c r="R254" s="24"/>
      <c r="S254" s="25">
        <f t="shared" si="15"/>
        <v>0</v>
      </c>
      <c r="T254" s="25">
        <f>COUNTIF($V$4:V254,V254)</f>
        <v>65</v>
      </c>
      <c r="U254" s="25" t="str">
        <f>IF(T254=1,COUNTIF($T$4:T254,1),"")</f>
        <v/>
      </c>
      <c r="V254" s="26" t="str">
        <f>'施設状況(要更新)'!$E254&amp;'施設状況(要更新)'!$C254</f>
        <v/>
      </c>
      <c r="W254" s="26">
        <f>'施設状況(要更新)'!$F254</f>
        <v>0</v>
      </c>
      <c r="X254" s="27"/>
      <c r="Y254" s="26"/>
    </row>
    <row r="255" spans="1:25">
      <c r="A255" s="32"/>
      <c r="B255" s="24"/>
      <c r="C255" s="24"/>
      <c r="D255" s="24"/>
      <c r="E255" s="24"/>
      <c r="F255" s="24"/>
      <c r="G255" s="24"/>
      <c r="H255" s="24"/>
      <c r="I255" s="24"/>
      <c r="J255" s="24"/>
      <c r="K255" s="24"/>
      <c r="L255" s="24"/>
      <c r="M255" s="24"/>
      <c r="N255" s="24"/>
      <c r="O255" s="24"/>
      <c r="P255" s="24"/>
      <c r="Q255" s="24"/>
      <c r="R255" s="24"/>
      <c r="S255" s="25">
        <f t="shared" si="15"/>
        <v>0</v>
      </c>
      <c r="T255" s="25">
        <f>COUNTIF($V$4:V255,V255)</f>
        <v>66</v>
      </c>
      <c r="U255" s="25" t="str">
        <f>IF(T255=1,COUNTIF($T$4:T255,1),"")</f>
        <v/>
      </c>
      <c r="V255" s="26" t="str">
        <f>'施設状況(要更新)'!$E255&amp;'施設状況(要更新)'!$C255</f>
        <v/>
      </c>
      <c r="W255" s="26">
        <f>'施設状況(要更新)'!$F255</f>
        <v>0</v>
      </c>
      <c r="X255" s="27"/>
      <c r="Y255" s="26"/>
    </row>
    <row r="256" spans="1:25">
      <c r="A256" s="32"/>
      <c r="B256" s="24"/>
      <c r="C256" s="24"/>
      <c r="D256" s="24"/>
      <c r="E256" s="24"/>
      <c r="F256" s="24"/>
      <c r="G256" s="24"/>
      <c r="H256" s="24"/>
      <c r="I256" s="24"/>
      <c r="J256" s="24"/>
      <c r="K256" s="24"/>
      <c r="L256" s="24"/>
      <c r="M256" s="24"/>
      <c r="N256" s="24"/>
      <c r="O256" s="24"/>
      <c r="P256" s="24"/>
      <c r="Q256" s="24"/>
      <c r="R256" s="24"/>
      <c r="S256" s="25">
        <f t="shared" si="15"/>
        <v>0</v>
      </c>
      <c r="T256" s="25">
        <f>COUNTIF($V$4:V256,V256)</f>
        <v>67</v>
      </c>
      <c r="U256" s="25" t="str">
        <f>IF(T256=1,COUNTIF($T$4:T256,1),"")</f>
        <v/>
      </c>
      <c r="V256" s="26" t="str">
        <f>'施設状況(要更新)'!$E256&amp;'施設状況(要更新)'!$C256</f>
        <v/>
      </c>
      <c r="W256" s="26">
        <f>'施設状況(要更新)'!$F256</f>
        <v>0</v>
      </c>
      <c r="X256" s="27"/>
      <c r="Y256" s="26"/>
    </row>
    <row r="257" spans="1:25">
      <c r="A257" s="32"/>
      <c r="B257" s="24"/>
      <c r="C257" s="24"/>
      <c r="D257" s="24"/>
      <c r="E257" s="24"/>
      <c r="F257" s="24"/>
      <c r="G257" s="24"/>
      <c r="H257" s="24"/>
      <c r="I257" s="24"/>
      <c r="J257" s="24"/>
      <c r="K257" s="24"/>
      <c r="L257" s="24"/>
      <c r="M257" s="24"/>
      <c r="N257" s="24"/>
      <c r="O257" s="24"/>
      <c r="P257" s="24"/>
      <c r="Q257" s="24"/>
      <c r="R257" s="24"/>
      <c r="S257" s="25">
        <f t="shared" si="15"/>
        <v>0</v>
      </c>
      <c r="T257" s="25">
        <f>COUNTIF($V$4:V257,V257)</f>
        <v>68</v>
      </c>
      <c r="U257" s="25" t="str">
        <f>IF(T257=1,COUNTIF($T$4:T257,1),"")</f>
        <v/>
      </c>
      <c r="V257" s="26" t="str">
        <f>'施設状況(要更新)'!$E257&amp;'施設状況(要更新)'!$C257</f>
        <v/>
      </c>
      <c r="W257" s="26">
        <f>'施設状況(要更新)'!$F257</f>
        <v>0</v>
      </c>
      <c r="X257" s="27"/>
      <c r="Y257" s="26"/>
    </row>
    <row r="258" spans="1:25">
      <c r="A258" s="32"/>
      <c r="B258" s="24"/>
      <c r="C258" s="24"/>
      <c r="D258" s="24"/>
      <c r="E258" s="24"/>
      <c r="F258" s="24"/>
      <c r="G258" s="24"/>
      <c r="H258" s="24"/>
      <c r="I258" s="24"/>
      <c r="J258" s="24"/>
      <c r="K258" s="24"/>
      <c r="L258" s="24"/>
      <c r="M258" s="24"/>
      <c r="N258" s="24"/>
      <c r="O258" s="24"/>
      <c r="P258" s="24"/>
      <c r="Q258" s="24"/>
      <c r="R258" s="24"/>
      <c r="S258" s="25">
        <f t="shared" si="15"/>
        <v>0</v>
      </c>
      <c r="T258" s="25">
        <f>COUNTIF($V$4:V258,V258)</f>
        <v>69</v>
      </c>
      <c r="U258" s="25" t="str">
        <f>IF(T258=1,COUNTIF($T$4:T258,1),"")</f>
        <v/>
      </c>
      <c r="V258" s="26" t="str">
        <f>'施設状況(要更新)'!$E258&amp;'施設状況(要更新)'!$C258</f>
        <v/>
      </c>
      <c r="W258" s="26">
        <f>'施設状況(要更新)'!$F258</f>
        <v>0</v>
      </c>
      <c r="X258" s="27"/>
      <c r="Y258" s="26"/>
    </row>
    <row r="259" spans="1:25">
      <c r="A259" s="32"/>
      <c r="B259" s="24"/>
      <c r="C259" s="24"/>
      <c r="D259" s="24"/>
      <c r="E259" s="24"/>
      <c r="F259" s="24"/>
      <c r="G259" s="24"/>
      <c r="H259" s="24"/>
      <c r="I259" s="24"/>
      <c r="J259" s="24"/>
      <c r="K259" s="24"/>
      <c r="L259" s="24"/>
      <c r="M259" s="24"/>
      <c r="N259" s="24"/>
      <c r="O259" s="24"/>
      <c r="P259" s="24"/>
      <c r="Q259" s="24"/>
      <c r="R259" s="24"/>
      <c r="S259" s="25">
        <f t="shared" si="15"/>
        <v>0</v>
      </c>
      <c r="T259" s="25">
        <f>COUNTIF($V$4:V259,V259)</f>
        <v>70</v>
      </c>
      <c r="U259" s="25" t="str">
        <f>IF(T259=1,COUNTIF($T$4:T259,1),"")</f>
        <v/>
      </c>
      <c r="V259" s="26" t="str">
        <f>'施設状況(要更新)'!$E259&amp;'施設状況(要更新)'!$C259</f>
        <v/>
      </c>
      <c r="W259" s="26">
        <f>'施設状況(要更新)'!$F259</f>
        <v>0</v>
      </c>
      <c r="X259" s="27"/>
      <c r="Y259" s="26"/>
    </row>
    <row r="260" spans="1:25">
      <c r="A260" s="32"/>
      <c r="B260" s="24"/>
      <c r="C260" s="24"/>
      <c r="D260" s="24"/>
      <c r="E260" s="24"/>
      <c r="F260" s="24"/>
      <c r="G260" s="24"/>
      <c r="H260" s="24"/>
      <c r="I260" s="24"/>
      <c r="J260" s="24"/>
      <c r="K260" s="24"/>
      <c r="L260" s="24"/>
      <c r="M260" s="24"/>
      <c r="N260" s="24"/>
      <c r="O260" s="24"/>
      <c r="P260" s="24"/>
      <c r="Q260" s="24"/>
      <c r="R260" s="24"/>
      <c r="S260" s="25">
        <f t="shared" si="15"/>
        <v>0</v>
      </c>
      <c r="T260" s="25">
        <f>COUNTIF($V$4:V260,V260)</f>
        <v>71</v>
      </c>
      <c r="U260" s="25" t="str">
        <f>IF(T260=1,COUNTIF($T$4:T260,1),"")</f>
        <v/>
      </c>
      <c r="V260" s="26" t="str">
        <f>'施設状況(要更新)'!$E260&amp;'施設状況(要更新)'!$C260</f>
        <v/>
      </c>
      <c r="W260" s="26">
        <f>'施設状況(要更新)'!$F260</f>
        <v>0</v>
      </c>
      <c r="X260" s="27"/>
      <c r="Y260" s="26"/>
    </row>
    <row r="261" spans="1:25">
      <c r="A261" s="32"/>
      <c r="B261" s="24"/>
      <c r="C261" s="44"/>
      <c r="D261" s="24"/>
      <c r="E261" s="24"/>
      <c r="F261" s="24"/>
      <c r="G261" s="24"/>
      <c r="H261" s="24"/>
      <c r="I261" s="24"/>
      <c r="J261" s="24"/>
      <c r="K261" s="24"/>
      <c r="L261" s="24"/>
      <c r="M261" s="24"/>
      <c r="N261" s="24"/>
      <c r="O261" s="24"/>
      <c r="P261" s="24"/>
      <c r="Q261" s="24"/>
      <c r="R261" s="24"/>
      <c r="S261" s="25">
        <f t="shared" si="15"/>
        <v>0</v>
      </c>
      <c r="T261" s="25">
        <f>COUNTIF($V$4:V261,V261)</f>
        <v>72</v>
      </c>
      <c r="U261" s="25" t="str">
        <f>IF(T261=1,COUNTIF($T$4:T261,1),"")</f>
        <v/>
      </c>
      <c r="V261" s="26" t="str">
        <f>'施設状況(要更新)'!$E261&amp;'施設状況(要更新)'!$C261</f>
        <v/>
      </c>
      <c r="W261" s="26">
        <f>'施設状況(要更新)'!$F261</f>
        <v>0</v>
      </c>
      <c r="X261" s="27"/>
      <c r="Y261" s="26"/>
    </row>
    <row r="262" spans="1:25">
      <c r="A262" s="32"/>
      <c r="B262" s="24"/>
      <c r="C262" s="44"/>
      <c r="D262" s="24"/>
      <c r="E262" s="24"/>
      <c r="F262" s="24"/>
      <c r="G262" s="24"/>
      <c r="H262" s="24"/>
      <c r="I262" s="24"/>
      <c r="J262" s="24"/>
      <c r="K262" s="24"/>
      <c r="L262" s="24"/>
      <c r="M262" s="24"/>
      <c r="N262" s="24"/>
      <c r="O262" s="24"/>
      <c r="P262" s="24"/>
      <c r="Q262" s="24"/>
      <c r="R262" s="24"/>
      <c r="S262" s="25">
        <f t="shared" si="15"/>
        <v>0</v>
      </c>
      <c r="T262" s="25">
        <f>COUNTIF($V$4:V262,V262)</f>
        <v>73</v>
      </c>
      <c r="U262" s="25" t="str">
        <f>IF(T262=1,COUNTIF($T$4:T262,1),"")</f>
        <v/>
      </c>
      <c r="V262" s="26" t="str">
        <f>'施設状況(要更新)'!$E262&amp;'施設状況(要更新)'!$C262</f>
        <v/>
      </c>
      <c r="W262" s="26">
        <f>'施設状況(要更新)'!$F262</f>
        <v>0</v>
      </c>
      <c r="X262" s="27"/>
      <c r="Y262" s="26"/>
    </row>
    <row r="263" spans="1:25">
      <c r="A263" s="32"/>
      <c r="B263" s="24"/>
      <c r="C263" s="44"/>
      <c r="D263" s="24"/>
      <c r="E263" s="24"/>
      <c r="F263" s="24"/>
      <c r="G263" s="24"/>
      <c r="H263" s="24"/>
      <c r="I263" s="24"/>
      <c r="J263" s="24"/>
      <c r="K263" s="24"/>
      <c r="L263" s="24"/>
      <c r="M263" s="24"/>
      <c r="N263" s="24"/>
      <c r="O263" s="24"/>
      <c r="P263" s="24"/>
      <c r="Q263" s="24"/>
      <c r="R263" s="24"/>
      <c r="S263" s="25">
        <f t="shared" si="15"/>
        <v>0</v>
      </c>
      <c r="T263" s="25">
        <f>COUNTIF($V$4:V263,V263)</f>
        <v>74</v>
      </c>
      <c r="U263" s="25" t="str">
        <f>IF(T263=1,COUNTIF($T$4:T263,1),"")</f>
        <v/>
      </c>
      <c r="V263" s="26" t="str">
        <f>'施設状況(要更新)'!$E263&amp;'施設状況(要更新)'!$C263</f>
        <v/>
      </c>
      <c r="W263" s="26">
        <f>'施設状況(要更新)'!$F263</f>
        <v>0</v>
      </c>
      <c r="X263" s="27"/>
      <c r="Y263" s="26"/>
    </row>
    <row r="264" spans="1:25">
      <c r="A264" s="32"/>
      <c r="B264" s="24"/>
      <c r="C264" s="44"/>
      <c r="D264" s="24"/>
      <c r="E264" s="24"/>
      <c r="F264" s="24"/>
      <c r="G264" s="24"/>
      <c r="H264" s="24"/>
      <c r="I264" s="24"/>
      <c r="J264" s="24"/>
      <c r="K264" s="24"/>
      <c r="L264" s="24"/>
      <c r="M264" s="24"/>
      <c r="N264" s="24"/>
      <c r="O264" s="24"/>
      <c r="P264" s="24"/>
      <c r="Q264" s="24"/>
      <c r="R264" s="24"/>
      <c r="S264" s="25">
        <f t="shared" si="15"/>
        <v>0</v>
      </c>
      <c r="T264" s="25">
        <f>COUNTIF($V$4:V264,V264)</f>
        <v>75</v>
      </c>
      <c r="U264" s="25" t="str">
        <f>IF(T264=1,COUNTIF($T$4:T264,1),"")</f>
        <v/>
      </c>
      <c r="V264" s="26" t="str">
        <f>'施設状況(要更新)'!$E264&amp;'施設状況(要更新)'!$C264</f>
        <v/>
      </c>
      <c r="W264" s="26">
        <f>'施設状況(要更新)'!$F264</f>
        <v>0</v>
      </c>
      <c r="X264" s="27"/>
      <c r="Y264" s="26"/>
    </row>
    <row r="265" spans="1:25">
      <c r="A265" s="32"/>
      <c r="B265" s="24"/>
      <c r="C265" s="44"/>
      <c r="D265" s="24"/>
      <c r="E265" s="24"/>
      <c r="F265" s="24"/>
      <c r="G265" s="24"/>
      <c r="H265" s="24"/>
      <c r="I265" s="24"/>
      <c r="J265" s="24"/>
      <c r="K265" s="24"/>
      <c r="L265" s="24"/>
      <c r="M265" s="24"/>
      <c r="N265" s="24"/>
      <c r="O265" s="24"/>
      <c r="P265" s="24"/>
      <c r="Q265" s="24"/>
      <c r="R265" s="24"/>
      <c r="S265" s="25">
        <f t="shared" si="15"/>
        <v>0</v>
      </c>
      <c r="T265" s="25">
        <f>COUNTIF($V$4:V265,V265)</f>
        <v>76</v>
      </c>
      <c r="U265" s="25" t="str">
        <f>IF(T265=1,COUNTIF($T$4:T265,1),"")</f>
        <v/>
      </c>
      <c r="V265" s="26" t="str">
        <f>'施設状況(要更新)'!$E265&amp;'施設状況(要更新)'!$C265</f>
        <v/>
      </c>
      <c r="W265" s="26">
        <f>'施設状況(要更新)'!$F265</f>
        <v>0</v>
      </c>
      <c r="X265" s="27"/>
      <c r="Y265" s="26"/>
    </row>
    <row r="266" spans="1:25">
      <c r="A266" s="32"/>
      <c r="B266" s="24"/>
      <c r="C266" s="44"/>
      <c r="D266" s="24"/>
      <c r="E266" s="24"/>
      <c r="F266" s="24"/>
      <c r="G266" s="24"/>
      <c r="H266" s="24"/>
      <c r="I266" s="24"/>
      <c r="J266" s="24"/>
      <c r="K266" s="24"/>
      <c r="L266" s="24"/>
      <c r="M266" s="24"/>
      <c r="N266" s="24"/>
      <c r="O266" s="24"/>
      <c r="P266" s="24"/>
      <c r="Q266" s="24"/>
      <c r="R266" s="24"/>
      <c r="S266" s="25">
        <f t="shared" si="15"/>
        <v>0</v>
      </c>
      <c r="T266" s="25">
        <f>COUNTIF($V$4:V266,V266)</f>
        <v>77</v>
      </c>
      <c r="U266" s="25" t="str">
        <f>IF(T266=1,COUNTIF($T$4:T266,1),"")</f>
        <v/>
      </c>
      <c r="V266" s="26" t="str">
        <f>'施設状況(要更新)'!$E266&amp;'施設状況(要更新)'!$C266</f>
        <v/>
      </c>
      <c r="W266" s="26">
        <f>'施設状況(要更新)'!$F266</f>
        <v>0</v>
      </c>
      <c r="X266" s="27"/>
      <c r="Y266" s="26"/>
    </row>
    <row r="267" spans="1:25">
      <c r="A267" s="32"/>
      <c r="B267" s="24"/>
      <c r="C267" s="44"/>
      <c r="D267" s="24"/>
      <c r="E267" s="24"/>
      <c r="F267" s="24"/>
      <c r="G267" s="24"/>
      <c r="H267" s="24"/>
      <c r="I267" s="24"/>
      <c r="J267" s="24"/>
      <c r="K267" s="24"/>
      <c r="L267" s="24"/>
      <c r="M267" s="24"/>
      <c r="N267" s="24"/>
      <c r="O267" s="24"/>
      <c r="P267" s="24"/>
      <c r="Q267" s="24"/>
      <c r="R267" s="24"/>
      <c r="S267" s="25">
        <f t="shared" si="15"/>
        <v>0</v>
      </c>
      <c r="T267" s="25">
        <f>COUNTIF($V$4:V267,V267)</f>
        <v>78</v>
      </c>
      <c r="U267" s="25" t="str">
        <f>IF(T267=1,COUNTIF($T$4:T267,1),"")</f>
        <v/>
      </c>
      <c r="V267" s="26" t="str">
        <f>'施設状況(要更新)'!$E267&amp;'施設状況(要更新)'!$C267</f>
        <v/>
      </c>
      <c r="W267" s="26">
        <f>'施設状況(要更新)'!$F267</f>
        <v>0</v>
      </c>
      <c r="X267" s="27"/>
      <c r="Y267" s="26"/>
    </row>
    <row r="268" spans="1:25">
      <c r="A268" s="32"/>
      <c r="B268" s="24"/>
      <c r="C268" s="44"/>
      <c r="D268" s="24"/>
      <c r="E268" s="24"/>
      <c r="F268" s="24"/>
      <c r="G268" s="24"/>
      <c r="H268" s="24"/>
      <c r="I268" s="24"/>
      <c r="J268" s="24"/>
      <c r="K268" s="24"/>
      <c r="L268" s="24"/>
      <c r="M268" s="24"/>
      <c r="N268" s="24"/>
      <c r="O268" s="24"/>
      <c r="P268" s="24"/>
      <c r="Q268" s="24"/>
      <c r="R268" s="24"/>
      <c r="S268" s="25">
        <f t="shared" si="15"/>
        <v>0</v>
      </c>
      <c r="T268" s="25">
        <f>COUNTIF($V$4:V268,V268)</f>
        <v>79</v>
      </c>
      <c r="U268" s="25" t="str">
        <f>IF(T268=1,COUNTIF($T$4:T268,1),"")</f>
        <v/>
      </c>
      <c r="V268" s="26" t="str">
        <f>'施設状況(要更新)'!$E268&amp;'施設状況(要更新)'!$C268</f>
        <v/>
      </c>
      <c r="W268" s="26">
        <f>'施設状況(要更新)'!$F268</f>
        <v>0</v>
      </c>
      <c r="X268" s="27"/>
      <c r="Y268" s="26"/>
    </row>
    <row r="269" spans="1:25">
      <c r="A269" s="32"/>
      <c r="B269" s="24"/>
      <c r="C269" s="44"/>
      <c r="D269" s="24"/>
      <c r="E269" s="24"/>
      <c r="F269" s="24"/>
      <c r="G269" s="24"/>
      <c r="H269" s="24"/>
      <c r="I269" s="24"/>
      <c r="J269" s="24"/>
      <c r="K269" s="24"/>
      <c r="L269" s="24"/>
      <c r="M269" s="24"/>
      <c r="N269" s="24"/>
      <c r="O269" s="24"/>
      <c r="P269" s="24"/>
      <c r="Q269" s="24"/>
      <c r="R269" s="24"/>
      <c r="S269" s="25">
        <f t="shared" si="15"/>
        <v>0</v>
      </c>
      <c r="T269" s="25">
        <f>COUNTIF($V$4:V269,V269)</f>
        <v>80</v>
      </c>
      <c r="U269" s="25" t="str">
        <f>IF(T269=1,COUNTIF($T$4:T269,1),"")</f>
        <v/>
      </c>
      <c r="V269" s="26" t="str">
        <f>'施設状況(要更新)'!$E269&amp;'施設状況(要更新)'!$C269</f>
        <v/>
      </c>
      <c r="W269" s="26">
        <f>'施設状況(要更新)'!$F269</f>
        <v>0</v>
      </c>
      <c r="X269" s="27"/>
      <c r="Y269" s="26"/>
    </row>
    <row r="270" spans="1:25">
      <c r="A270" s="32"/>
      <c r="B270" s="24"/>
      <c r="C270" s="44"/>
      <c r="D270" s="24"/>
      <c r="E270" s="24"/>
      <c r="F270" s="24"/>
      <c r="G270" s="24"/>
      <c r="H270" s="24"/>
      <c r="I270" s="24"/>
      <c r="J270" s="24"/>
      <c r="K270" s="24"/>
      <c r="L270" s="24"/>
      <c r="M270" s="24"/>
      <c r="N270" s="24"/>
      <c r="O270" s="24"/>
      <c r="P270" s="24"/>
      <c r="Q270" s="24"/>
      <c r="R270" s="24"/>
      <c r="S270" s="25">
        <f t="shared" si="15"/>
        <v>0</v>
      </c>
      <c r="T270" s="25">
        <f>COUNTIF($V$4:V270,V270)</f>
        <v>81</v>
      </c>
      <c r="U270" s="25" t="str">
        <f>IF(T270=1,COUNTIF($T$4:T270,1),"")</f>
        <v/>
      </c>
      <c r="V270" s="26" t="str">
        <f>'施設状況(要更新)'!$E270&amp;'施設状況(要更新)'!$C270</f>
        <v/>
      </c>
      <c r="W270" s="26">
        <f>'施設状況(要更新)'!$F270</f>
        <v>0</v>
      </c>
      <c r="X270" s="27"/>
      <c r="Y270" s="26"/>
    </row>
    <row r="271" spans="1:25">
      <c r="A271" s="32"/>
      <c r="B271" s="24"/>
      <c r="C271" s="44"/>
      <c r="D271" s="24"/>
      <c r="E271" s="24"/>
      <c r="F271" s="24"/>
      <c r="G271" s="24"/>
      <c r="H271" s="24"/>
      <c r="I271" s="24"/>
      <c r="J271" s="24"/>
      <c r="K271" s="24"/>
      <c r="L271" s="24"/>
      <c r="M271" s="24"/>
      <c r="N271" s="24"/>
      <c r="O271" s="24"/>
      <c r="P271" s="24"/>
      <c r="Q271" s="24"/>
      <c r="R271" s="24"/>
      <c r="S271" s="25">
        <f t="shared" si="15"/>
        <v>0</v>
      </c>
      <c r="T271" s="25">
        <f>COUNTIF($V$4:V271,V271)</f>
        <v>82</v>
      </c>
      <c r="U271" s="25" t="str">
        <f>IF(T271=1,COUNTIF($T$4:T271,1),"")</f>
        <v/>
      </c>
      <c r="V271" s="26" t="str">
        <f>'施設状況(要更新)'!$E271&amp;'施設状況(要更新)'!$C271</f>
        <v/>
      </c>
      <c r="W271" s="26">
        <f>'施設状況(要更新)'!$F271</f>
        <v>0</v>
      </c>
      <c r="X271" s="27"/>
      <c r="Y271" s="26"/>
    </row>
    <row r="272" spans="1:25">
      <c r="A272" s="32"/>
      <c r="B272" s="24"/>
      <c r="C272" s="24"/>
      <c r="D272" s="24"/>
      <c r="E272" s="24"/>
      <c r="F272" s="24"/>
      <c r="G272" s="24"/>
      <c r="H272" s="24"/>
      <c r="I272" s="24"/>
      <c r="J272" s="24"/>
      <c r="K272" s="24"/>
      <c r="L272" s="24"/>
      <c r="M272" s="24"/>
      <c r="N272" s="24"/>
      <c r="O272" s="24"/>
      <c r="P272" s="24"/>
      <c r="Q272" s="24"/>
      <c r="R272" s="24"/>
      <c r="S272" s="25">
        <f t="shared" si="15"/>
        <v>0</v>
      </c>
      <c r="T272" s="25">
        <f>COUNTIF($V$4:V272,V272)</f>
        <v>83</v>
      </c>
      <c r="U272" s="25" t="str">
        <f>IF(T272=1,COUNTIF($T$4:T272,1),"")</f>
        <v/>
      </c>
      <c r="V272" s="26" t="str">
        <f>'施設状況(要更新)'!$E272&amp;'施設状況(要更新)'!$C272</f>
        <v/>
      </c>
      <c r="W272" s="26">
        <f>'施設状況(要更新)'!$F272</f>
        <v>0</v>
      </c>
      <c r="X272" s="27"/>
      <c r="Y272" s="26"/>
    </row>
    <row r="273" spans="1:25">
      <c r="A273" s="32"/>
      <c r="B273" s="24"/>
      <c r="C273" s="24"/>
      <c r="D273" s="24"/>
      <c r="E273" s="24"/>
      <c r="F273" s="24"/>
      <c r="G273" s="24"/>
      <c r="H273" s="24"/>
      <c r="I273" s="24"/>
      <c r="J273" s="24"/>
      <c r="K273" s="24"/>
      <c r="L273" s="24"/>
      <c r="M273" s="24"/>
      <c r="N273" s="24"/>
      <c r="O273" s="24"/>
      <c r="P273" s="24"/>
      <c r="Q273" s="24"/>
      <c r="R273" s="24"/>
      <c r="S273" s="25">
        <f t="shared" si="15"/>
        <v>0</v>
      </c>
      <c r="T273" s="25">
        <f>COUNTIF($V$4:V273,V273)</f>
        <v>84</v>
      </c>
      <c r="U273" s="25" t="str">
        <f>IF(T273=1,COUNTIF($T$4:T273,1),"")</f>
        <v/>
      </c>
      <c r="V273" s="26" t="str">
        <f>'施設状況(要更新)'!$E273&amp;'施設状況(要更新)'!$C273</f>
        <v/>
      </c>
      <c r="W273" s="26">
        <f>'施設状況(要更新)'!$F273</f>
        <v>0</v>
      </c>
      <c r="X273" s="27"/>
      <c r="Y273" s="26"/>
    </row>
    <row r="274" spans="1:25">
      <c r="A274" s="32"/>
      <c r="B274" s="24"/>
      <c r="C274" s="24"/>
      <c r="D274" s="24"/>
      <c r="E274" s="24"/>
      <c r="F274" s="24"/>
      <c r="G274" s="24"/>
      <c r="H274" s="24"/>
      <c r="I274" s="24"/>
      <c r="J274" s="24"/>
      <c r="K274" s="24"/>
      <c r="L274" s="24"/>
      <c r="M274" s="24"/>
      <c r="N274" s="24"/>
      <c r="O274" s="24"/>
      <c r="P274" s="24"/>
      <c r="Q274" s="24"/>
      <c r="R274" s="24"/>
      <c r="S274" s="25">
        <f t="shared" si="15"/>
        <v>0</v>
      </c>
      <c r="T274" s="25">
        <f>COUNTIF($V$4:V274,V274)</f>
        <v>85</v>
      </c>
      <c r="U274" s="25" t="str">
        <f>IF(T274=1,COUNTIF($T$4:T274,1),"")</f>
        <v/>
      </c>
      <c r="V274" s="26" t="str">
        <f>'施設状況(要更新)'!$E274&amp;'施設状況(要更新)'!$C274</f>
        <v/>
      </c>
      <c r="W274" s="26">
        <f>'施設状況(要更新)'!$F274</f>
        <v>0</v>
      </c>
      <c r="X274" s="27"/>
      <c r="Y274" s="26"/>
    </row>
    <row r="275" spans="1:25">
      <c r="A275" s="32"/>
      <c r="B275" s="24"/>
      <c r="C275" s="24"/>
      <c r="D275" s="24"/>
      <c r="E275" s="24"/>
      <c r="F275" s="24"/>
      <c r="G275" s="24"/>
      <c r="H275" s="24"/>
      <c r="I275" s="24"/>
      <c r="J275" s="24"/>
      <c r="K275" s="24"/>
      <c r="L275" s="24"/>
      <c r="M275" s="24"/>
      <c r="N275" s="24"/>
      <c r="O275" s="24"/>
      <c r="P275" s="24"/>
      <c r="Q275" s="24"/>
      <c r="R275" s="24"/>
      <c r="S275" s="25">
        <f t="shared" si="15"/>
        <v>0</v>
      </c>
      <c r="T275" s="25">
        <f>COUNTIF($V$4:V275,V275)</f>
        <v>86</v>
      </c>
      <c r="U275" s="25" t="str">
        <f>IF(T275=1,COUNTIF($T$4:T275,1),"")</f>
        <v/>
      </c>
      <c r="V275" s="26" t="str">
        <f>'施設状況(要更新)'!$E275&amp;'施設状況(要更新)'!$C275</f>
        <v/>
      </c>
      <c r="W275" s="26">
        <f>'施設状況(要更新)'!$F275</f>
        <v>0</v>
      </c>
      <c r="X275" s="27"/>
      <c r="Y275" s="26"/>
    </row>
    <row r="276" spans="1:25">
      <c r="A276" s="32"/>
      <c r="B276" s="24"/>
      <c r="C276" s="44"/>
      <c r="D276" s="24"/>
      <c r="E276" s="24"/>
      <c r="F276" s="24"/>
      <c r="G276" s="24"/>
      <c r="H276" s="24"/>
      <c r="I276" s="24"/>
      <c r="J276" s="24"/>
      <c r="K276" s="24"/>
      <c r="L276" s="24"/>
      <c r="M276" s="24"/>
      <c r="N276" s="24"/>
      <c r="O276" s="24"/>
      <c r="P276" s="24"/>
      <c r="Q276" s="24"/>
      <c r="R276" s="24"/>
      <c r="S276" s="25">
        <f t="shared" si="15"/>
        <v>0</v>
      </c>
      <c r="T276" s="25">
        <f>COUNTIF($V$4:V276,V276)</f>
        <v>87</v>
      </c>
      <c r="U276" s="25" t="str">
        <f>IF(T276=1,COUNTIF($T$4:T276,1),"")</f>
        <v/>
      </c>
      <c r="V276" s="26" t="str">
        <f>'施設状況(要更新)'!$E276&amp;'施設状況(要更新)'!$C276</f>
        <v/>
      </c>
      <c r="W276" s="26">
        <f>'施設状況(要更新)'!$F276</f>
        <v>0</v>
      </c>
      <c r="X276" s="27"/>
      <c r="Y276" s="26"/>
    </row>
    <row r="277" spans="1:25">
      <c r="A277" s="32"/>
      <c r="B277" s="24"/>
      <c r="C277" s="44"/>
      <c r="D277" s="24"/>
      <c r="E277" s="24"/>
      <c r="F277" s="24"/>
      <c r="G277" s="24"/>
      <c r="H277" s="24"/>
      <c r="I277" s="24"/>
      <c r="J277" s="24"/>
      <c r="K277" s="24"/>
      <c r="L277" s="24"/>
      <c r="M277" s="24"/>
      <c r="N277" s="24"/>
      <c r="O277" s="24"/>
      <c r="P277" s="24"/>
      <c r="Q277" s="24"/>
      <c r="R277" s="24"/>
      <c r="S277" s="25">
        <f t="shared" si="15"/>
        <v>0</v>
      </c>
      <c r="T277" s="25">
        <f>COUNTIF($V$4:V277,V277)</f>
        <v>88</v>
      </c>
      <c r="U277" s="25" t="str">
        <f>IF(T277=1,COUNTIF($T$4:T277,1),"")</f>
        <v/>
      </c>
      <c r="V277" s="26" t="str">
        <f>'施設状況(要更新)'!$E277&amp;'施設状況(要更新)'!$C277</f>
        <v/>
      </c>
      <c r="W277" s="26">
        <f>'施設状況(要更新)'!$F277</f>
        <v>0</v>
      </c>
      <c r="X277" s="27"/>
      <c r="Y277" s="26"/>
    </row>
    <row r="278" spans="1:25">
      <c r="A278" s="32"/>
      <c r="B278" s="24"/>
      <c r="C278" s="44"/>
      <c r="D278" s="24"/>
      <c r="E278" s="24"/>
      <c r="F278" s="24"/>
      <c r="G278" s="24"/>
      <c r="H278" s="24"/>
      <c r="I278" s="24"/>
      <c r="J278" s="24"/>
      <c r="K278" s="24"/>
      <c r="L278" s="24"/>
      <c r="M278" s="24"/>
      <c r="N278" s="24"/>
      <c r="O278" s="24"/>
      <c r="P278" s="24"/>
      <c r="Q278" s="24"/>
      <c r="R278" s="24"/>
      <c r="S278" s="25">
        <f t="shared" si="15"/>
        <v>0</v>
      </c>
      <c r="T278" s="25">
        <f>COUNTIF($V$4:V278,V278)</f>
        <v>89</v>
      </c>
      <c r="U278" s="25" t="str">
        <f>IF(T278=1,COUNTIF($T$4:T278,1),"")</f>
        <v/>
      </c>
      <c r="V278" s="26" t="str">
        <f>'施設状況(要更新)'!$E278&amp;'施設状況(要更新)'!$C278</f>
        <v/>
      </c>
      <c r="W278" s="26">
        <f>'施設状況(要更新)'!$F278</f>
        <v>0</v>
      </c>
      <c r="X278" s="27"/>
      <c r="Y278" s="26"/>
    </row>
    <row r="279" spans="1:25">
      <c r="A279" s="32"/>
      <c r="B279" s="24"/>
      <c r="C279" s="44"/>
      <c r="D279" s="24"/>
      <c r="E279" s="24"/>
      <c r="F279" s="24"/>
      <c r="G279" s="24"/>
      <c r="H279" s="24"/>
      <c r="I279" s="24"/>
      <c r="J279" s="24"/>
      <c r="K279" s="24"/>
      <c r="L279" s="24"/>
      <c r="M279" s="24"/>
      <c r="N279" s="24"/>
      <c r="O279" s="24"/>
      <c r="P279" s="24"/>
      <c r="Q279" s="24"/>
      <c r="R279" s="24"/>
      <c r="S279" s="25">
        <f t="shared" si="15"/>
        <v>0</v>
      </c>
      <c r="T279" s="25">
        <f>COUNTIF($V$4:V279,V279)</f>
        <v>90</v>
      </c>
      <c r="U279" s="25" t="str">
        <f>IF(T279=1,COUNTIF($T$4:T279,1),"")</f>
        <v/>
      </c>
      <c r="V279" s="26" t="str">
        <f>'施設状況(要更新)'!$E279&amp;'施設状況(要更新)'!$C279</f>
        <v/>
      </c>
      <c r="W279" s="26">
        <f>'施設状況(要更新)'!$F279</f>
        <v>0</v>
      </c>
      <c r="X279" s="27"/>
      <c r="Y279" s="26"/>
    </row>
    <row r="280" spans="1:25">
      <c r="A280" s="32"/>
      <c r="B280" s="24"/>
      <c r="C280" s="44"/>
      <c r="D280" s="24"/>
      <c r="E280" s="24"/>
      <c r="F280" s="24"/>
      <c r="G280" s="24"/>
      <c r="H280" s="24"/>
      <c r="I280" s="24"/>
      <c r="J280" s="24"/>
      <c r="K280" s="24"/>
      <c r="L280" s="24"/>
      <c r="M280" s="24"/>
      <c r="N280" s="24"/>
      <c r="O280" s="24"/>
      <c r="P280" s="24"/>
      <c r="Q280" s="24"/>
      <c r="R280" s="24"/>
      <c r="S280" s="25">
        <f t="shared" si="15"/>
        <v>0</v>
      </c>
      <c r="T280" s="25">
        <f>COUNTIF($V$4:V280,V280)</f>
        <v>91</v>
      </c>
      <c r="U280" s="25" t="str">
        <f>IF(T280=1,COUNTIF($T$4:T280,1),"")</f>
        <v/>
      </c>
      <c r="V280" s="26" t="str">
        <f>'施設状況(要更新)'!$E280&amp;'施設状況(要更新)'!$C280</f>
        <v/>
      </c>
      <c r="W280" s="26">
        <f>'施設状況(要更新)'!$F280</f>
        <v>0</v>
      </c>
      <c r="X280" s="27"/>
      <c r="Y280" s="26"/>
    </row>
    <row r="281" spans="1:25">
      <c r="A281" s="32"/>
      <c r="B281" s="24"/>
      <c r="C281" s="44"/>
      <c r="D281" s="24"/>
      <c r="E281" s="24"/>
      <c r="F281" s="24"/>
      <c r="G281" s="24"/>
      <c r="H281" s="24"/>
      <c r="I281" s="24"/>
      <c r="J281" s="24"/>
      <c r="K281" s="24"/>
      <c r="L281" s="24"/>
      <c r="M281" s="24"/>
      <c r="N281" s="24"/>
      <c r="O281" s="24"/>
      <c r="P281" s="24"/>
      <c r="Q281" s="24"/>
      <c r="R281" s="24"/>
      <c r="S281" s="25">
        <f t="shared" si="15"/>
        <v>0</v>
      </c>
      <c r="T281" s="25">
        <f>COUNTIF($V$4:V281,V281)</f>
        <v>92</v>
      </c>
      <c r="U281" s="25" t="str">
        <f>IF(T281=1,COUNTIF($T$4:T281,1),"")</f>
        <v/>
      </c>
      <c r="V281" s="26" t="str">
        <f>'施設状況(要更新)'!$E281&amp;'施設状況(要更新)'!$C281</f>
        <v/>
      </c>
      <c r="W281" s="26">
        <f>'施設状況(要更新)'!$F281</f>
        <v>0</v>
      </c>
      <c r="X281" s="27"/>
      <c r="Y281" s="26"/>
    </row>
    <row r="282" spans="1:25">
      <c r="A282" s="32"/>
      <c r="B282" s="24"/>
      <c r="C282" s="44"/>
      <c r="D282" s="24"/>
      <c r="E282" s="24"/>
      <c r="F282" s="24"/>
      <c r="G282" s="24"/>
      <c r="H282" s="24"/>
      <c r="I282" s="24"/>
      <c r="J282" s="24"/>
      <c r="K282" s="24"/>
      <c r="L282" s="24"/>
      <c r="M282" s="24"/>
      <c r="N282" s="24"/>
      <c r="O282" s="24"/>
      <c r="P282" s="24"/>
      <c r="Q282" s="24"/>
      <c r="R282" s="24"/>
      <c r="S282" s="25">
        <f t="shared" si="15"/>
        <v>0</v>
      </c>
      <c r="T282" s="25">
        <f>COUNTIF($V$4:V282,V282)</f>
        <v>93</v>
      </c>
      <c r="U282" s="25" t="str">
        <f>IF(T282=1,COUNTIF($T$4:T282,1),"")</f>
        <v/>
      </c>
      <c r="V282" s="26" t="str">
        <f>'施設状況(要更新)'!$E282&amp;'施設状況(要更新)'!$C282</f>
        <v/>
      </c>
      <c r="W282" s="26">
        <f>'施設状況(要更新)'!$F282</f>
        <v>0</v>
      </c>
      <c r="X282" s="27"/>
      <c r="Y282" s="26"/>
    </row>
    <row r="283" spans="1:25">
      <c r="A283" s="32"/>
      <c r="B283" s="24"/>
      <c r="C283" s="44"/>
      <c r="D283" s="24"/>
      <c r="E283" s="24"/>
      <c r="F283" s="24"/>
      <c r="G283" s="24"/>
      <c r="H283" s="24"/>
      <c r="I283" s="24"/>
      <c r="J283" s="24"/>
      <c r="K283" s="24"/>
      <c r="L283" s="24"/>
      <c r="M283" s="24"/>
      <c r="N283" s="24"/>
      <c r="O283" s="24"/>
      <c r="P283" s="24"/>
      <c r="Q283" s="24"/>
      <c r="R283" s="24"/>
      <c r="S283" s="25">
        <f t="shared" si="15"/>
        <v>0</v>
      </c>
      <c r="T283" s="25">
        <f>COUNTIF($V$4:V283,V283)</f>
        <v>94</v>
      </c>
      <c r="U283" s="25" t="str">
        <f>IF(T283=1,COUNTIF($T$4:T283,1),"")</f>
        <v/>
      </c>
      <c r="V283" s="26" t="str">
        <f>'施設状況(要更新)'!$E283&amp;'施設状況(要更新)'!$C283</f>
        <v/>
      </c>
      <c r="W283" s="26">
        <f>'施設状況(要更新)'!$F283</f>
        <v>0</v>
      </c>
      <c r="X283" s="27"/>
      <c r="Y283" s="26"/>
    </row>
    <row r="284" spans="1:25">
      <c r="A284" s="32"/>
      <c r="B284" s="24"/>
      <c r="C284" s="44"/>
      <c r="D284" s="24"/>
      <c r="E284" s="24"/>
      <c r="F284" s="24"/>
      <c r="G284" s="24"/>
      <c r="H284" s="24"/>
      <c r="I284" s="24"/>
      <c r="J284" s="24"/>
      <c r="K284" s="24"/>
      <c r="L284" s="24"/>
      <c r="M284" s="24"/>
      <c r="N284" s="24"/>
      <c r="O284" s="24"/>
      <c r="P284" s="24"/>
      <c r="Q284" s="24"/>
      <c r="R284" s="24"/>
      <c r="S284" s="25">
        <f t="shared" si="15"/>
        <v>0</v>
      </c>
      <c r="T284" s="25">
        <f>COUNTIF($V$4:V284,V284)</f>
        <v>95</v>
      </c>
      <c r="U284" s="25" t="str">
        <f>IF(T284=1,COUNTIF($T$4:T284,1),"")</f>
        <v/>
      </c>
      <c r="V284" s="26" t="str">
        <f>'施設状況(要更新)'!$E284&amp;'施設状況(要更新)'!$C284</f>
        <v/>
      </c>
      <c r="W284" s="26">
        <f>'施設状況(要更新)'!$F284</f>
        <v>0</v>
      </c>
      <c r="X284" s="27"/>
      <c r="Y284" s="26"/>
    </row>
    <row r="285" spans="1:25">
      <c r="A285" s="32"/>
      <c r="B285" s="24"/>
      <c r="C285" s="44"/>
      <c r="D285" s="24"/>
      <c r="E285" s="24"/>
      <c r="F285" s="24"/>
      <c r="G285" s="24"/>
      <c r="H285" s="24"/>
      <c r="I285" s="24"/>
      <c r="J285" s="24"/>
      <c r="K285" s="24"/>
      <c r="L285" s="24"/>
      <c r="M285" s="24"/>
      <c r="N285" s="24"/>
      <c r="O285" s="24"/>
      <c r="P285" s="24"/>
      <c r="Q285" s="24"/>
      <c r="R285" s="24"/>
      <c r="S285" s="25">
        <f t="shared" si="15"/>
        <v>0</v>
      </c>
      <c r="T285" s="25">
        <f>COUNTIF($V$4:V285,V285)</f>
        <v>96</v>
      </c>
      <c r="U285" s="25" t="str">
        <f>IF(T285=1,COUNTIF($T$4:T285,1),"")</f>
        <v/>
      </c>
      <c r="V285" s="26" t="str">
        <f>'施設状況(要更新)'!$E285&amp;'施設状況(要更新)'!$C285</f>
        <v/>
      </c>
      <c r="W285" s="26">
        <f>'施設状況(要更新)'!$F285</f>
        <v>0</v>
      </c>
      <c r="X285" s="27"/>
      <c r="Y285" s="26"/>
    </row>
    <row r="286" spans="1:25">
      <c r="A286" s="32"/>
      <c r="B286" s="24"/>
      <c r="C286" s="44"/>
      <c r="D286" s="24"/>
      <c r="E286" s="24"/>
      <c r="F286" s="24"/>
      <c r="G286" s="24"/>
      <c r="H286" s="24"/>
      <c r="I286" s="24"/>
      <c r="J286" s="24"/>
      <c r="K286" s="24"/>
      <c r="L286" s="24"/>
      <c r="M286" s="24"/>
      <c r="N286" s="24"/>
      <c r="O286" s="24"/>
      <c r="P286" s="24"/>
      <c r="Q286" s="24"/>
      <c r="R286" s="24"/>
      <c r="S286" s="25">
        <f t="shared" si="15"/>
        <v>0</v>
      </c>
      <c r="T286" s="25">
        <f>COUNTIF($V$4:V286,V286)</f>
        <v>97</v>
      </c>
      <c r="U286" s="25" t="str">
        <f>IF(T286=1,COUNTIF($T$4:T286,1),"")</f>
        <v/>
      </c>
      <c r="V286" s="26" t="str">
        <f>'施設状況(要更新)'!$E286&amp;'施設状況(要更新)'!$C286</f>
        <v/>
      </c>
      <c r="W286" s="26">
        <f>'施設状況(要更新)'!$F286</f>
        <v>0</v>
      </c>
      <c r="X286" s="27"/>
      <c r="Y286" s="26"/>
    </row>
    <row r="287" spans="1:25">
      <c r="A287" s="32"/>
      <c r="B287" s="24"/>
      <c r="C287" s="44"/>
      <c r="D287" s="24"/>
      <c r="E287" s="24"/>
      <c r="F287" s="24"/>
      <c r="G287" s="24"/>
      <c r="H287" s="24"/>
      <c r="I287" s="24"/>
      <c r="J287" s="24"/>
      <c r="K287" s="24"/>
      <c r="L287" s="24"/>
      <c r="M287" s="24"/>
      <c r="N287" s="24"/>
      <c r="O287" s="24"/>
      <c r="P287" s="24"/>
      <c r="Q287" s="24"/>
      <c r="R287" s="24"/>
      <c r="S287" s="25">
        <f t="shared" si="15"/>
        <v>0</v>
      </c>
      <c r="T287" s="25">
        <f>COUNTIF($V$4:V287,V287)</f>
        <v>98</v>
      </c>
      <c r="U287" s="25" t="str">
        <f>IF(T287=1,COUNTIF($T$4:T287,1),"")</f>
        <v/>
      </c>
      <c r="V287" s="26" t="str">
        <f>'施設状況(要更新)'!$E287&amp;'施設状況(要更新)'!$C287</f>
        <v/>
      </c>
      <c r="W287" s="26">
        <f>'施設状況(要更新)'!$F287</f>
        <v>0</v>
      </c>
      <c r="X287" s="27"/>
      <c r="Y287" s="26"/>
    </row>
    <row r="288" spans="1:25">
      <c r="A288" s="32"/>
      <c r="B288" s="24"/>
      <c r="C288" s="44"/>
      <c r="D288" s="24"/>
      <c r="E288" s="24"/>
      <c r="F288" s="24"/>
      <c r="G288" s="24"/>
      <c r="H288" s="24"/>
      <c r="I288" s="24"/>
      <c r="J288" s="24"/>
      <c r="K288" s="24"/>
      <c r="L288" s="24"/>
      <c r="M288" s="24"/>
      <c r="N288" s="24"/>
      <c r="O288" s="24"/>
      <c r="P288" s="24"/>
      <c r="Q288" s="24"/>
      <c r="R288" s="24"/>
      <c r="S288" s="25">
        <f t="shared" si="15"/>
        <v>0</v>
      </c>
      <c r="T288" s="25">
        <f>COUNTIF($V$4:V288,V288)</f>
        <v>99</v>
      </c>
      <c r="U288" s="25" t="str">
        <f>IF(T288=1,COUNTIF($T$4:T288,1),"")</f>
        <v/>
      </c>
      <c r="V288" s="26" t="str">
        <f>'施設状況(要更新)'!$E288&amp;'施設状況(要更新)'!$C288</f>
        <v/>
      </c>
      <c r="W288" s="26">
        <f>'施設状況(要更新)'!$F288</f>
        <v>0</v>
      </c>
      <c r="X288" s="27"/>
      <c r="Y288" s="26"/>
    </row>
    <row r="289" spans="1:33">
      <c r="A289" s="32"/>
      <c r="B289" s="24"/>
      <c r="C289" s="44"/>
      <c r="D289" s="24"/>
      <c r="E289" s="24"/>
      <c r="F289" s="24"/>
      <c r="G289" s="24"/>
      <c r="H289" s="24"/>
      <c r="I289" s="24"/>
      <c r="J289" s="24"/>
      <c r="K289" s="24"/>
      <c r="L289" s="24"/>
      <c r="M289" s="24"/>
      <c r="N289" s="24"/>
      <c r="O289" s="24"/>
      <c r="P289" s="24"/>
      <c r="Q289" s="24"/>
      <c r="R289" s="24"/>
      <c r="S289" s="25">
        <f t="shared" si="15"/>
        <v>0</v>
      </c>
      <c r="T289" s="25">
        <f>COUNTIF($V$4:V289,V289)</f>
        <v>100</v>
      </c>
      <c r="U289" s="25" t="str">
        <f>IF(T289=1,COUNTIF($T$4:T289,1),"")</f>
        <v/>
      </c>
      <c r="V289" s="26" t="str">
        <f>'施設状況(要更新)'!$E289&amp;'施設状況(要更新)'!$C289</f>
        <v/>
      </c>
      <c r="W289" s="26">
        <f>'施設状況(要更新)'!$F289</f>
        <v>0</v>
      </c>
      <c r="X289" s="27"/>
      <c r="Y289" s="26"/>
    </row>
    <row r="290" spans="1:33">
      <c r="A290" s="32"/>
      <c r="B290" s="24"/>
      <c r="C290" s="44"/>
      <c r="D290" s="24"/>
      <c r="E290" s="24"/>
      <c r="F290" s="24"/>
      <c r="G290" s="24"/>
      <c r="H290" s="24"/>
      <c r="I290" s="24"/>
      <c r="J290" s="24"/>
      <c r="K290" s="24"/>
      <c r="L290" s="24"/>
      <c r="M290" s="24"/>
      <c r="N290" s="24"/>
      <c r="O290" s="24"/>
      <c r="P290" s="24"/>
      <c r="Q290" s="24"/>
      <c r="R290" s="24"/>
      <c r="S290" s="25">
        <f t="shared" si="15"/>
        <v>0</v>
      </c>
      <c r="T290" s="25">
        <f>COUNTIF($V$4:V290,V290)</f>
        <v>101</v>
      </c>
      <c r="U290" s="25" t="str">
        <f>IF(T290=1,COUNTIF($T$4:T290,1),"")</f>
        <v/>
      </c>
      <c r="V290" s="26" t="str">
        <f>'施設状況(要更新)'!$E290&amp;'施設状況(要更新)'!$C290</f>
        <v/>
      </c>
      <c r="W290" s="26">
        <f>'施設状況(要更新)'!$F290</f>
        <v>0</v>
      </c>
      <c r="X290" s="27"/>
      <c r="Y290" s="26"/>
    </row>
    <row r="291" spans="1:33">
      <c r="A291" s="32"/>
      <c r="B291" s="24"/>
      <c r="C291" s="44"/>
      <c r="D291" s="24"/>
      <c r="E291" s="24"/>
      <c r="F291" s="24"/>
      <c r="G291" s="24"/>
      <c r="H291" s="24"/>
      <c r="I291" s="24"/>
      <c r="J291" s="24"/>
      <c r="K291" s="24"/>
      <c r="L291" s="24"/>
      <c r="M291" s="24"/>
      <c r="N291" s="24"/>
      <c r="O291" s="24"/>
      <c r="P291" s="24"/>
      <c r="Q291" s="24"/>
      <c r="R291" s="24"/>
      <c r="S291" s="25">
        <f t="shared" si="15"/>
        <v>0</v>
      </c>
      <c r="T291" s="25">
        <f>COUNTIF($V$4:V291,V291)</f>
        <v>102</v>
      </c>
      <c r="U291" s="25" t="str">
        <f>IF(T291=1,COUNTIF($T$4:T291,1),"")</f>
        <v/>
      </c>
      <c r="V291" s="26" t="str">
        <f>'施設状況(要更新)'!$E291&amp;'施設状況(要更新)'!$C291</f>
        <v/>
      </c>
      <c r="W291" s="26">
        <f>'施設状況(要更新)'!$F291</f>
        <v>0</v>
      </c>
      <c r="X291" s="27"/>
      <c r="Y291" s="26"/>
    </row>
    <row r="292" spans="1:33">
      <c r="A292" s="32"/>
      <c r="B292" s="24"/>
      <c r="C292" s="44"/>
      <c r="D292" s="24"/>
      <c r="E292" s="24"/>
      <c r="F292" s="24"/>
      <c r="G292" s="24"/>
      <c r="H292" s="24"/>
      <c r="I292" s="24"/>
      <c r="J292" s="24"/>
      <c r="K292" s="24"/>
      <c r="L292" s="24"/>
      <c r="M292" s="24"/>
      <c r="N292" s="24"/>
      <c r="O292" s="24"/>
      <c r="P292" s="24"/>
      <c r="Q292" s="24"/>
      <c r="R292" s="24"/>
      <c r="S292" s="25">
        <f t="shared" si="15"/>
        <v>0</v>
      </c>
      <c r="T292" s="25">
        <f>COUNTIF($V$4:V292,V292)</f>
        <v>103</v>
      </c>
      <c r="U292" s="25" t="str">
        <f>IF(T292=1,COUNTIF($T$4:T292,1),"")</f>
        <v/>
      </c>
      <c r="V292" s="26" t="str">
        <f>'施設状況(要更新)'!$E292&amp;'施設状況(要更新)'!$C292</f>
        <v/>
      </c>
      <c r="W292" s="26">
        <f>'施設状況(要更新)'!$F292</f>
        <v>0</v>
      </c>
      <c r="X292" s="27"/>
      <c r="Y292" s="26"/>
    </row>
    <row r="293" spans="1:33">
      <c r="A293" s="32"/>
      <c r="B293" s="24"/>
      <c r="C293" s="44"/>
      <c r="D293" s="24"/>
      <c r="E293" s="24"/>
      <c r="F293" s="24"/>
      <c r="G293" s="24"/>
      <c r="H293" s="24"/>
      <c r="I293" s="24"/>
      <c r="J293" s="24"/>
      <c r="K293" s="24"/>
      <c r="L293" s="24"/>
      <c r="M293" s="24"/>
      <c r="N293" s="24"/>
      <c r="O293" s="24"/>
      <c r="P293" s="24"/>
      <c r="Q293" s="24"/>
      <c r="R293" s="24"/>
      <c r="S293" s="25">
        <f t="shared" si="15"/>
        <v>0</v>
      </c>
      <c r="T293" s="25">
        <f>COUNTIF($V$4:V293,V293)</f>
        <v>104</v>
      </c>
      <c r="U293" s="25" t="str">
        <f>IF(T293=1,COUNTIF($T$4:T293,1),"")</f>
        <v/>
      </c>
      <c r="V293" s="26" t="str">
        <f>'施設状況(要更新)'!$E293&amp;'施設状況(要更新)'!$C293</f>
        <v/>
      </c>
      <c r="W293" s="26">
        <f>'施設状況(要更新)'!$F293</f>
        <v>0</v>
      </c>
      <c r="X293" s="27"/>
      <c r="Y293" s="26"/>
    </row>
    <row r="294" spans="1:33">
      <c r="A294" s="32"/>
      <c r="B294" s="24"/>
      <c r="C294" s="44"/>
      <c r="D294" s="24"/>
      <c r="E294" s="24"/>
      <c r="F294" s="24"/>
      <c r="G294" s="24"/>
      <c r="H294" s="24"/>
      <c r="I294" s="24"/>
      <c r="J294" s="24"/>
      <c r="K294" s="24"/>
      <c r="L294" s="24"/>
      <c r="M294" s="24"/>
      <c r="N294" s="24"/>
      <c r="O294" s="24"/>
      <c r="P294" s="24"/>
      <c r="Q294" s="24"/>
      <c r="R294" s="24"/>
      <c r="S294" s="25">
        <f t="shared" si="15"/>
        <v>0</v>
      </c>
      <c r="T294" s="25">
        <f>COUNTIF($V$4:V294,V294)</f>
        <v>105</v>
      </c>
      <c r="U294" s="25" t="str">
        <f>IF(T294=1,COUNTIF($T$4:T294,1),"")</f>
        <v/>
      </c>
      <c r="V294" s="26" t="str">
        <f>'施設状況(要更新)'!$E294&amp;'施設状況(要更新)'!$C294</f>
        <v/>
      </c>
      <c r="W294" s="26">
        <f>'施設状況(要更新)'!$F294</f>
        <v>0</v>
      </c>
      <c r="X294" s="27"/>
      <c r="Y294" s="26"/>
    </row>
    <row r="295" spans="1:33">
      <c r="A295" s="32"/>
      <c r="B295" s="24"/>
      <c r="C295" s="44"/>
      <c r="D295" s="24"/>
      <c r="E295" s="24"/>
      <c r="F295" s="24"/>
      <c r="G295" s="24"/>
      <c r="H295" s="24"/>
      <c r="I295" s="24"/>
      <c r="J295" s="24"/>
      <c r="K295" s="24"/>
      <c r="L295" s="24"/>
      <c r="M295" s="24"/>
      <c r="N295" s="24"/>
      <c r="O295" s="24"/>
      <c r="P295" s="24"/>
      <c r="Q295" s="24"/>
      <c r="R295" s="24"/>
      <c r="S295" s="25">
        <f t="shared" si="15"/>
        <v>0</v>
      </c>
      <c r="T295" s="25">
        <f>COUNTIF($V$4:V295,V295)</f>
        <v>106</v>
      </c>
      <c r="U295" s="25" t="str">
        <f>IF(T295=1,COUNTIF($T$4:T295,1),"")</f>
        <v/>
      </c>
      <c r="V295" s="26" t="str">
        <f>'施設状況(要更新)'!$E295&amp;'施設状況(要更新)'!$C295</f>
        <v/>
      </c>
      <c r="W295" s="26">
        <f>'施設状況(要更新)'!$F295</f>
        <v>0</v>
      </c>
      <c r="X295" s="27"/>
      <c r="Y295" s="26"/>
    </row>
    <row r="296" spans="1:33">
      <c r="A296" s="32"/>
      <c r="B296" s="24"/>
      <c r="C296" s="44"/>
      <c r="D296" s="24"/>
      <c r="E296" s="24"/>
      <c r="F296" s="24"/>
      <c r="G296" s="24"/>
      <c r="H296" s="24"/>
      <c r="I296" s="24"/>
      <c r="J296" s="24"/>
      <c r="K296" s="24"/>
      <c r="L296" s="24"/>
      <c r="M296" s="24"/>
      <c r="N296" s="24"/>
      <c r="O296" s="24"/>
      <c r="P296" s="24"/>
      <c r="Q296" s="24"/>
      <c r="R296" s="24"/>
      <c r="S296" s="25">
        <f t="shared" si="15"/>
        <v>0</v>
      </c>
      <c r="T296" s="25">
        <f>COUNTIF($V$4:V296,V296)</f>
        <v>107</v>
      </c>
      <c r="U296" s="25" t="str">
        <f>IF(T296=1,COUNTIF($T$4:T296,1),"")</f>
        <v/>
      </c>
      <c r="V296" s="26" t="str">
        <f>'施設状況(要更新)'!$E296&amp;'施設状況(要更新)'!$C296</f>
        <v/>
      </c>
      <c r="W296" s="26">
        <f>'施設状況(要更新)'!$F296</f>
        <v>0</v>
      </c>
      <c r="X296" s="27"/>
      <c r="Y296" s="26"/>
    </row>
    <row r="297" spans="1:33">
      <c r="A297" s="32"/>
      <c r="B297" s="24"/>
      <c r="C297" s="44"/>
      <c r="D297" s="24"/>
      <c r="E297" s="24"/>
      <c r="F297" s="24"/>
      <c r="G297" s="24"/>
      <c r="H297" s="24"/>
      <c r="I297" s="24"/>
      <c r="J297" s="24"/>
      <c r="K297" s="24"/>
      <c r="L297" s="24"/>
      <c r="M297" s="24"/>
      <c r="N297" s="24"/>
      <c r="O297" s="24"/>
      <c r="P297" s="24"/>
      <c r="Q297" s="24"/>
      <c r="R297" s="24"/>
      <c r="S297" s="25">
        <f t="shared" si="15"/>
        <v>0</v>
      </c>
      <c r="T297" s="25">
        <f>COUNTIF($V$4:V297,V297)</f>
        <v>108</v>
      </c>
      <c r="U297" s="25" t="str">
        <f>IF(T297=1,COUNTIF($T$4:T297,1),"")</f>
        <v/>
      </c>
      <c r="V297" s="26" t="str">
        <f>'施設状況(要更新)'!$E297&amp;'施設状況(要更新)'!$C297</f>
        <v/>
      </c>
      <c r="W297" s="26">
        <f>'施設状況(要更新)'!$F297</f>
        <v>0</v>
      </c>
      <c r="X297" s="27"/>
      <c r="Y297" s="26"/>
    </row>
    <row r="298" spans="1:33">
      <c r="A298" s="32"/>
      <c r="B298" s="24"/>
      <c r="C298" s="44"/>
      <c r="D298" s="24"/>
      <c r="E298" s="24"/>
      <c r="F298" s="24"/>
      <c r="G298" s="24"/>
      <c r="H298" s="24"/>
      <c r="I298" s="24"/>
      <c r="J298" s="24"/>
      <c r="K298" s="24"/>
      <c r="L298" s="24"/>
      <c r="M298" s="24"/>
      <c r="N298" s="24"/>
      <c r="O298" s="24"/>
      <c r="P298" s="24"/>
      <c r="Q298" s="24"/>
      <c r="R298" s="24"/>
      <c r="S298" s="25">
        <f t="shared" si="15"/>
        <v>0</v>
      </c>
      <c r="T298" s="25">
        <f>COUNTIF($V$4:V298,V298)</f>
        <v>109</v>
      </c>
      <c r="U298" s="25" t="str">
        <f>IF(T298=1,COUNTIF($T$4:T298,1),"")</f>
        <v/>
      </c>
      <c r="V298" s="26" t="str">
        <f>'施設状況(要更新)'!$E298&amp;'施設状況(要更新)'!$C298</f>
        <v/>
      </c>
      <c r="W298" s="26">
        <f>'施設状況(要更新)'!$F298</f>
        <v>0</v>
      </c>
      <c r="X298" s="27"/>
      <c r="Y298" s="26"/>
    </row>
    <row r="299" spans="1:33">
      <c r="A299" s="32"/>
      <c r="B299" s="24"/>
      <c r="C299" s="44"/>
      <c r="D299" s="24"/>
      <c r="E299" s="24"/>
      <c r="F299" s="24"/>
      <c r="G299" s="24"/>
      <c r="H299" s="24"/>
      <c r="I299" s="24"/>
      <c r="J299" s="24"/>
      <c r="K299" s="24"/>
      <c r="L299" s="24"/>
      <c r="M299" s="24"/>
      <c r="N299" s="24"/>
      <c r="O299" s="24"/>
      <c r="P299" s="24"/>
      <c r="Q299" s="24"/>
      <c r="R299" s="24"/>
      <c r="S299" s="25">
        <f t="shared" si="15"/>
        <v>0</v>
      </c>
      <c r="T299" s="25">
        <f>COUNTIF($V$4:V299,V299)</f>
        <v>110</v>
      </c>
      <c r="U299" s="25" t="str">
        <f>IF(T299=1,COUNTIF($T$4:T299,1),"")</f>
        <v/>
      </c>
      <c r="V299" s="26" t="str">
        <f>'施設状況(要更新)'!$E299&amp;'施設状況(要更新)'!$C299</f>
        <v/>
      </c>
      <c r="W299" s="26">
        <f>'施設状況(要更新)'!$F299</f>
        <v>0</v>
      </c>
      <c r="X299" s="27"/>
      <c r="Y299" s="26"/>
    </row>
    <row r="300" spans="1:33">
      <c r="A300" s="32"/>
      <c r="B300" s="24"/>
      <c r="C300" s="44"/>
      <c r="D300" s="24"/>
      <c r="E300" s="24"/>
      <c r="F300" s="24"/>
      <c r="G300" s="24"/>
      <c r="H300" s="24"/>
      <c r="I300" s="24"/>
      <c r="J300" s="24"/>
      <c r="K300" s="24"/>
      <c r="L300" s="24"/>
      <c r="M300" s="24"/>
      <c r="N300" s="24"/>
      <c r="O300" s="24"/>
      <c r="P300" s="24"/>
      <c r="Q300" s="24"/>
      <c r="R300" s="24"/>
      <c r="S300" s="25">
        <f t="shared" si="15"/>
        <v>0</v>
      </c>
      <c r="T300" s="25">
        <f>COUNTIF($V$4:V300,V300)</f>
        <v>111</v>
      </c>
      <c r="U300" s="25" t="str">
        <f>IF(T300=1,COUNTIF($T$4:T300,1),"")</f>
        <v/>
      </c>
      <c r="V300" s="26" t="str">
        <f>'施設状況(要更新)'!$E300&amp;'施設状況(要更新)'!$C300</f>
        <v/>
      </c>
      <c r="W300" s="26">
        <f>'施設状況(要更新)'!$F300</f>
        <v>0</v>
      </c>
      <c r="X300" s="27"/>
      <c r="Y300" s="26"/>
      <c r="Z300" s="26"/>
      <c r="AA300" s="26"/>
      <c r="AB300" s="26"/>
      <c r="AC300" s="26"/>
      <c r="AD300" s="26"/>
      <c r="AE300" s="26"/>
      <c r="AF300" s="26"/>
      <c r="AG300" s="26"/>
    </row>
    <row r="301" spans="1:33">
      <c r="A301" s="32"/>
      <c r="B301" s="24"/>
      <c r="C301" s="44"/>
      <c r="D301" s="24"/>
      <c r="E301" s="24"/>
      <c r="F301" s="24"/>
      <c r="G301" s="24"/>
      <c r="H301" s="24"/>
      <c r="I301" s="24"/>
      <c r="J301" s="24"/>
      <c r="K301" s="24"/>
      <c r="L301" s="24"/>
      <c r="M301" s="24"/>
      <c r="N301" s="24"/>
      <c r="O301" s="24"/>
      <c r="P301" s="24"/>
      <c r="Q301" s="24"/>
      <c r="R301" s="24"/>
      <c r="S301" s="25">
        <f t="shared" si="15"/>
        <v>0</v>
      </c>
      <c r="T301" s="25">
        <f>COUNTIF($V$4:V301,V301)</f>
        <v>112</v>
      </c>
      <c r="U301" s="25" t="str">
        <f>IF(T301=1,COUNTIF($T$4:T301,1),"")</f>
        <v/>
      </c>
      <c r="V301" s="26" t="str">
        <f>'施設状況(要更新)'!$E301&amp;'施設状況(要更新)'!$C301</f>
        <v/>
      </c>
      <c r="W301" s="26">
        <f>'施設状況(要更新)'!$F301</f>
        <v>0</v>
      </c>
      <c r="X301" s="27"/>
      <c r="Y301" s="26"/>
    </row>
    <row r="302" spans="1:33">
      <c r="A302" s="32"/>
      <c r="B302" s="24"/>
      <c r="C302" s="44"/>
      <c r="D302" s="24"/>
      <c r="E302" s="24"/>
      <c r="F302" s="24"/>
      <c r="G302" s="24"/>
      <c r="H302" s="24"/>
      <c r="I302" s="24"/>
      <c r="J302" s="24"/>
      <c r="K302" s="24"/>
      <c r="L302" s="24"/>
      <c r="M302" s="24"/>
      <c r="N302" s="24"/>
      <c r="O302" s="24"/>
      <c r="P302" s="24"/>
      <c r="Q302" s="24"/>
      <c r="R302" s="24"/>
      <c r="S302" s="25">
        <f t="shared" si="15"/>
        <v>0</v>
      </c>
      <c r="T302" s="25">
        <f>COUNTIF($V$4:V302,V302)</f>
        <v>113</v>
      </c>
      <c r="U302" s="25" t="str">
        <f>IF(T302=1,COUNTIF($T$4:T302,1),"")</f>
        <v/>
      </c>
      <c r="V302" s="26" t="str">
        <f>'施設状況(要更新)'!$E302&amp;'施設状況(要更新)'!$C302</f>
        <v/>
      </c>
      <c r="W302" s="26">
        <f>'施設状況(要更新)'!$F302</f>
        <v>0</v>
      </c>
      <c r="X302" s="27"/>
      <c r="Y302" s="26"/>
    </row>
    <row r="303" spans="1:33">
      <c r="A303" s="32"/>
      <c r="B303" s="24"/>
      <c r="C303" s="44"/>
      <c r="D303" s="24"/>
      <c r="E303" s="24"/>
      <c r="F303" s="24"/>
      <c r="G303" s="24"/>
      <c r="H303" s="24"/>
      <c r="I303" s="24"/>
      <c r="J303" s="24"/>
      <c r="K303" s="24"/>
      <c r="L303" s="24"/>
      <c r="M303" s="24"/>
      <c r="N303" s="24"/>
      <c r="O303" s="24"/>
      <c r="P303" s="24"/>
      <c r="Q303" s="24"/>
      <c r="R303" s="24"/>
      <c r="S303" s="25">
        <f t="shared" ref="S303:S366" si="16">A303</f>
        <v>0</v>
      </c>
      <c r="T303" s="25">
        <f>COUNTIF($V$4:V303,V303)</f>
        <v>114</v>
      </c>
      <c r="U303" s="25" t="str">
        <f>IF(T303=1,COUNTIF($T$4:T303,1),"")</f>
        <v/>
      </c>
      <c r="V303" s="26" t="str">
        <f>'施設状況(要更新)'!$E303&amp;'施設状況(要更新)'!$C303</f>
        <v/>
      </c>
      <c r="W303" s="26">
        <f>'施設状況(要更新)'!$F303</f>
        <v>0</v>
      </c>
      <c r="X303" s="27"/>
      <c r="Y303" s="26"/>
    </row>
    <row r="304" spans="1:33">
      <c r="A304" s="32"/>
      <c r="B304" s="24"/>
      <c r="C304" s="44"/>
      <c r="D304" s="24"/>
      <c r="E304" s="24"/>
      <c r="F304" s="24"/>
      <c r="G304" s="24"/>
      <c r="H304" s="24"/>
      <c r="I304" s="24"/>
      <c r="J304" s="24"/>
      <c r="K304" s="24"/>
      <c r="L304" s="24"/>
      <c r="M304" s="24"/>
      <c r="N304" s="24"/>
      <c r="O304" s="24"/>
      <c r="P304" s="24"/>
      <c r="Q304" s="24"/>
      <c r="R304" s="24"/>
      <c r="S304" s="25">
        <f t="shared" si="16"/>
        <v>0</v>
      </c>
      <c r="T304" s="25">
        <f>COUNTIF($V$4:V304,V304)</f>
        <v>115</v>
      </c>
      <c r="U304" s="25" t="str">
        <f>IF(T304=1,COUNTIF($T$4:T304,1),"")</f>
        <v/>
      </c>
      <c r="V304" s="26" t="str">
        <f>'施設状況(要更新)'!$E304&amp;'施設状況(要更新)'!$C304</f>
        <v/>
      </c>
      <c r="W304" s="26">
        <f>'施設状況(要更新)'!$F304</f>
        <v>0</v>
      </c>
      <c r="X304" s="27"/>
      <c r="Y304" s="26"/>
    </row>
    <row r="305" spans="1:25">
      <c r="A305" s="32"/>
      <c r="B305" s="24"/>
      <c r="C305" s="44"/>
      <c r="D305" s="24"/>
      <c r="E305" s="24"/>
      <c r="F305" s="24"/>
      <c r="G305" s="24"/>
      <c r="H305" s="24"/>
      <c r="I305" s="24"/>
      <c r="J305" s="24"/>
      <c r="K305" s="24"/>
      <c r="L305" s="24"/>
      <c r="M305" s="24"/>
      <c r="N305" s="24"/>
      <c r="O305" s="24"/>
      <c r="P305" s="24"/>
      <c r="Q305" s="24"/>
      <c r="R305" s="24"/>
      <c r="S305" s="25">
        <f t="shared" si="16"/>
        <v>0</v>
      </c>
      <c r="T305" s="25">
        <f>COUNTIF($V$4:V305,V305)</f>
        <v>116</v>
      </c>
      <c r="U305" s="25" t="str">
        <f>IF(T305=1,COUNTIF($T$4:T305,1),"")</f>
        <v/>
      </c>
      <c r="V305" s="26" t="str">
        <f>'施設状況(要更新)'!$E305&amp;'施設状況(要更新)'!$C305</f>
        <v/>
      </c>
      <c r="W305" s="26">
        <f>'施設状況(要更新)'!$F305</f>
        <v>0</v>
      </c>
      <c r="X305" s="27"/>
      <c r="Y305" s="26"/>
    </row>
    <row r="306" spans="1:25">
      <c r="A306" s="32"/>
      <c r="B306" s="24"/>
      <c r="C306" s="44"/>
      <c r="D306" s="24"/>
      <c r="E306" s="24"/>
      <c r="F306" s="24"/>
      <c r="G306" s="24"/>
      <c r="H306" s="24"/>
      <c r="I306" s="24"/>
      <c r="J306" s="24"/>
      <c r="K306" s="24"/>
      <c r="L306" s="24"/>
      <c r="M306" s="24"/>
      <c r="N306" s="24"/>
      <c r="O306" s="24"/>
      <c r="P306" s="24"/>
      <c r="Q306" s="24"/>
      <c r="R306" s="24"/>
      <c r="S306" s="25">
        <f t="shared" si="16"/>
        <v>0</v>
      </c>
      <c r="T306" s="25">
        <f>COUNTIF($V$4:V306,V306)</f>
        <v>117</v>
      </c>
      <c r="U306" s="25" t="str">
        <f>IF(T306=1,COUNTIF($T$4:T306,1),"")</f>
        <v/>
      </c>
      <c r="V306" s="26" t="str">
        <f>'施設状況(要更新)'!$E306&amp;'施設状況(要更新)'!$C306</f>
        <v/>
      </c>
      <c r="W306" s="26">
        <f>'施設状況(要更新)'!$F306</f>
        <v>0</v>
      </c>
      <c r="X306" s="27"/>
      <c r="Y306" s="26"/>
    </row>
    <row r="307" spans="1:25">
      <c r="A307" s="32"/>
      <c r="B307" s="24"/>
      <c r="C307" s="44"/>
      <c r="D307" s="24"/>
      <c r="E307" s="24"/>
      <c r="F307" s="24"/>
      <c r="G307" s="24"/>
      <c r="H307" s="24"/>
      <c r="I307" s="24"/>
      <c r="J307" s="24"/>
      <c r="K307" s="24"/>
      <c r="L307" s="24"/>
      <c r="M307" s="24"/>
      <c r="N307" s="24"/>
      <c r="O307" s="24"/>
      <c r="P307" s="24"/>
      <c r="Q307" s="24"/>
      <c r="R307" s="24"/>
      <c r="S307" s="25">
        <f t="shared" si="16"/>
        <v>0</v>
      </c>
      <c r="T307" s="25">
        <f>COUNTIF($V$4:V307,V307)</f>
        <v>118</v>
      </c>
      <c r="U307" s="25" t="str">
        <f>IF(T307=1,COUNTIF($T$4:T307,1),"")</f>
        <v/>
      </c>
      <c r="V307" s="26" t="str">
        <f>'施設状況(要更新)'!$E307&amp;'施設状況(要更新)'!$C307</f>
        <v/>
      </c>
      <c r="W307" s="26">
        <f>'施設状況(要更新)'!$F307</f>
        <v>0</v>
      </c>
      <c r="X307" s="27"/>
      <c r="Y307" s="26"/>
    </row>
    <row r="308" spans="1:25">
      <c r="A308" s="32"/>
      <c r="B308" s="24"/>
      <c r="C308" s="44"/>
      <c r="D308" s="24"/>
      <c r="E308" s="24"/>
      <c r="F308" s="24"/>
      <c r="G308" s="24"/>
      <c r="H308" s="24"/>
      <c r="I308" s="24"/>
      <c r="J308" s="24"/>
      <c r="K308" s="24"/>
      <c r="L308" s="24"/>
      <c r="M308" s="24"/>
      <c r="N308" s="24"/>
      <c r="O308" s="24"/>
      <c r="P308" s="24"/>
      <c r="Q308" s="24"/>
      <c r="R308" s="24"/>
      <c r="S308" s="25">
        <f t="shared" si="16"/>
        <v>0</v>
      </c>
      <c r="T308" s="25">
        <f>COUNTIF($V$4:V308,V308)</f>
        <v>119</v>
      </c>
      <c r="U308" s="25" t="str">
        <f>IF(T308=1,COUNTIF($T$4:T308,1),"")</f>
        <v/>
      </c>
      <c r="V308" s="26" t="str">
        <f>'施設状況(要更新)'!$E308&amp;'施設状況(要更新)'!$C308</f>
        <v/>
      </c>
      <c r="W308" s="26">
        <f>'施設状況(要更新)'!$F308</f>
        <v>0</v>
      </c>
      <c r="X308" s="27"/>
      <c r="Y308" s="26"/>
    </row>
    <row r="309" spans="1:25">
      <c r="A309" s="32"/>
      <c r="B309" s="24"/>
      <c r="C309" s="44"/>
      <c r="D309" s="24"/>
      <c r="E309" s="24"/>
      <c r="F309" s="24"/>
      <c r="G309" s="24"/>
      <c r="H309" s="24"/>
      <c r="I309" s="24"/>
      <c r="J309" s="24"/>
      <c r="K309" s="24"/>
      <c r="L309" s="24"/>
      <c r="M309" s="24"/>
      <c r="N309" s="24"/>
      <c r="O309" s="24"/>
      <c r="P309" s="24"/>
      <c r="Q309" s="24"/>
      <c r="R309" s="24"/>
      <c r="S309" s="25">
        <f t="shared" si="16"/>
        <v>0</v>
      </c>
      <c r="T309" s="25">
        <f>COUNTIF($V$4:V309,V309)</f>
        <v>120</v>
      </c>
      <c r="U309" s="25" t="str">
        <f>IF(T309=1,COUNTIF($T$4:T309,1),"")</f>
        <v/>
      </c>
      <c r="V309" s="26" t="str">
        <f>'施設状況(要更新)'!$E309&amp;'施設状況(要更新)'!$C309</f>
        <v/>
      </c>
      <c r="W309" s="26">
        <f>'施設状況(要更新)'!$F309</f>
        <v>0</v>
      </c>
      <c r="X309" s="27"/>
      <c r="Y309" s="26"/>
    </row>
    <row r="310" spans="1:25">
      <c r="A310" s="32"/>
      <c r="B310" s="24"/>
      <c r="C310" s="44"/>
      <c r="D310" s="24"/>
      <c r="E310" s="24"/>
      <c r="F310" s="24"/>
      <c r="G310" s="24"/>
      <c r="H310" s="24"/>
      <c r="I310" s="24"/>
      <c r="J310" s="24"/>
      <c r="K310" s="24"/>
      <c r="L310" s="24"/>
      <c r="M310" s="24"/>
      <c r="N310" s="24"/>
      <c r="O310" s="24"/>
      <c r="P310" s="24"/>
      <c r="Q310" s="24"/>
      <c r="R310" s="24"/>
      <c r="S310" s="25">
        <f t="shared" si="16"/>
        <v>0</v>
      </c>
      <c r="T310" s="25">
        <f>COUNTIF($V$4:V310,V310)</f>
        <v>121</v>
      </c>
      <c r="U310" s="25" t="str">
        <f>IF(T310=1,COUNTIF($T$4:T310,1),"")</f>
        <v/>
      </c>
      <c r="V310" s="26" t="str">
        <f>'施設状況(要更新)'!$E310&amp;'施設状況(要更新)'!$C310</f>
        <v/>
      </c>
      <c r="W310" s="26">
        <f>'施設状況(要更新)'!$F310</f>
        <v>0</v>
      </c>
      <c r="X310" s="27"/>
      <c r="Y310" s="26"/>
    </row>
    <row r="311" spans="1:25">
      <c r="A311" s="32"/>
      <c r="B311" s="24"/>
      <c r="C311" s="44"/>
      <c r="D311" s="24"/>
      <c r="E311" s="24"/>
      <c r="F311" s="24"/>
      <c r="G311" s="24"/>
      <c r="H311" s="24"/>
      <c r="I311" s="24"/>
      <c r="J311" s="24"/>
      <c r="K311" s="24"/>
      <c r="L311" s="24"/>
      <c r="M311" s="24"/>
      <c r="N311" s="24"/>
      <c r="O311" s="24"/>
      <c r="P311" s="24"/>
      <c r="Q311" s="24"/>
      <c r="R311" s="24"/>
      <c r="S311" s="25">
        <f t="shared" si="16"/>
        <v>0</v>
      </c>
      <c r="T311" s="25">
        <f>COUNTIF($V$4:V311,V311)</f>
        <v>122</v>
      </c>
      <c r="U311" s="25" t="str">
        <f>IF(T311=1,COUNTIF($T$4:T311,1),"")</f>
        <v/>
      </c>
      <c r="V311" s="26" t="str">
        <f>'施設状況(要更新)'!$E311&amp;'施設状況(要更新)'!$C311</f>
        <v/>
      </c>
      <c r="W311" s="26">
        <f>'施設状況(要更新)'!$F311</f>
        <v>0</v>
      </c>
      <c r="X311" s="27"/>
      <c r="Y311" s="26"/>
    </row>
    <row r="312" spans="1:25">
      <c r="A312" s="32"/>
      <c r="B312" s="24"/>
      <c r="C312" s="44"/>
      <c r="D312" s="24"/>
      <c r="E312" s="24"/>
      <c r="F312" s="24"/>
      <c r="G312" s="24"/>
      <c r="H312" s="24"/>
      <c r="I312" s="24"/>
      <c r="J312" s="24"/>
      <c r="K312" s="24"/>
      <c r="L312" s="24"/>
      <c r="M312" s="24"/>
      <c r="N312" s="24"/>
      <c r="O312" s="24"/>
      <c r="P312" s="24"/>
      <c r="Q312" s="24"/>
      <c r="R312" s="24"/>
      <c r="S312" s="25">
        <f t="shared" si="16"/>
        <v>0</v>
      </c>
      <c r="T312" s="25">
        <f>COUNTIF($V$4:V312,V312)</f>
        <v>123</v>
      </c>
      <c r="U312" s="25" t="str">
        <f>IF(T312=1,COUNTIF($T$4:T312,1),"")</f>
        <v/>
      </c>
      <c r="V312" s="26" t="str">
        <f>'施設状況(要更新)'!$E312&amp;'施設状況(要更新)'!$C312</f>
        <v/>
      </c>
      <c r="W312" s="26">
        <f>'施設状況(要更新)'!$F312</f>
        <v>0</v>
      </c>
      <c r="X312" s="27"/>
      <c r="Y312" s="26"/>
    </row>
    <row r="313" spans="1:25">
      <c r="A313" s="32"/>
      <c r="B313" s="24"/>
      <c r="C313" s="24"/>
      <c r="D313" s="24"/>
      <c r="E313" s="24"/>
      <c r="F313" s="24"/>
      <c r="G313" s="24"/>
      <c r="H313" s="24"/>
      <c r="I313" s="24"/>
      <c r="J313" s="24"/>
      <c r="K313" s="24"/>
      <c r="L313" s="24"/>
      <c r="M313" s="24"/>
      <c r="N313" s="24"/>
      <c r="O313" s="24"/>
      <c r="P313" s="24"/>
      <c r="Q313" s="24"/>
      <c r="R313" s="24"/>
      <c r="S313" s="25">
        <f t="shared" si="16"/>
        <v>0</v>
      </c>
      <c r="T313" s="25">
        <f>COUNTIF($V$4:V313,V313)</f>
        <v>124</v>
      </c>
      <c r="U313" s="25" t="str">
        <f>IF(T313=1,COUNTIF($T$4:T313,1),"")</f>
        <v/>
      </c>
      <c r="V313" s="26" t="str">
        <f>'施設状況(要更新)'!$E313&amp;'施設状況(要更新)'!$C313</f>
        <v/>
      </c>
      <c r="W313" s="26">
        <f>'施設状況(要更新)'!$F313</f>
        <v>0</v>
      </c>
      <c r="X313" s="27"/>
      <c r="Y313" s="26"/>
    </row>
    <row r="314" spans="1:25">
      <c r="A314" s="32"/>
      <c r="B314" s="24"/>
      <c r="C314" s="24"/>
      <c r="D314" s="24"/>
      <c r="E314" s="24"/>
      <c r="F314" s="24"/>
      <c r="G314" s="24"/>
      <c r="H314" s="24"/>
      <c r="I314" s="24"/>
      <c r="J314" s="24"/>
      <c r="K314" s="24"/>
      <c r="L314" s="24"/>
      <c r="M314" s="24"/>
      <c r="N314" s="24"/>
      <c r="O314" s="24"/>
      <c r="P314" s="24"/>
      <c r="Q314" s="24"/>
      <c r="R314" s="24"/>
      <c r="S314" s="25">
        <f t="shared" si="16"/>
        <v>0</v>
      </c>
      <c r="T314" s="25">
        <f>COUNTIF($V$4:V314,V314)</f>
        <v>125</v>
      </c>
      <c r="U314" s="25" t="str">
        <f>IF(T314=1,COUNTIF($T$4:T314,1),"")</f>
        <v/>
      </c>
      <c r="V314" s="26" t="str">
        <f>'施設状況(要更新)'!$E314&amp;'施設状況(要更新)'!$C314</f>
        <v/>
      </c>
      <c r="W314" s="26">
        <f>'施設状況(要更新)'!$F314</f>
        <v>0</v>
      </c>
      <c r="X314" s="27"/>
      <c r="Y314" s="26"/>
    </row>
    <row r="315" spans="1:25">
      <c r="A315" s="32"/>
      <c r="B315" s="24"/>
      <c r="C315" s="24"/>
      <c r="D315" s="24"/>
      <c r="E315" s="24"/>
      <c r="F315" s="24"/>
      <c r="G315" s="24"/>
      <c r="H315" s="24"/>
      <c r="I315" s="24"/>
      <c r="J315" s="24"/>
      <c r="K315" s="24"/>
      <c r="L315" s="24"/>
      <c r="M315" s="24"/>
      <c r="N315" s="24"/>
      <c r="O315" s="24"/>
      <c r="P315" s="24"/>
      <c r="Q315" s="24"/>
      <c r="R315" s="24"/>
      <c r="S315" s="25">
        <f t="shared" si="16"/>
        <v>0</v>
      </c>
      <c r="T315" s="25">
        <f>COUNTIF($V$4:V315,V315)</f>
        <v>126</v>
      </c>
      <c r="U315" s="25" t="str">
        <f>IF(T315=1,COUNTIF($T$4:T315,1),"")</f>
        <v/>
      </c>
      <c r="V315" s="26" t="str">
        <f>'施設状況(要更新)'!$E315&amp;'施設状況(要更新)'!$C315</f>
        <v/>
      </c>
      <c r="W315" s="26">
        <f>'施設状況(要更新)'!$F315</f>
        <v>0</v>
      </c>
      <c r="X315" s="27"/>
      <c r="Y315" s="26"/>
    </row>
    <row r="316" spans="1:25">
      <c r="A316" s="32"/>
      <c r="B316" s="24"/>
      <c r="C316" s="24"/>
      <c r="D316" s="24"/>
      <c r="E316" s="24"/>
      <c r="F316" s="24"/>
      <c r="G316" s="24"/>
      <c r="H316" s="24"/>
      <c r="I316" s="24"/>
      <c r="J316" s="24"/>
      <c r="K316" s="24"/>
      <c r="L316" s="24"/>
      <c r="M316" s="24"/>
      <c r="N316" s="24"/>
      <c r="O316" s="24"/>
      <c r="P316" s="24"/>
      <c r="Q316" s="24"/>
      <c r="R316" s="24"/>
      <c r="S316" s="25">
        <f t="shared" si="16"/>
        <v>0</v>
      </c>
      <c r="T316" s="25">
        <f>COUNTIF($V$4:V316,V316)</f>
        <v>127</v>
      </c>
      <c r="U316" s="25" t="str">
        <f>IF(T316=1,COUNTIF($T$4:T316,1),"")</f>
        <v/>
      </c>
      <c r="V316" s="26" t="str">
        <f>'施設状況(要更新)'!$E316&amp;'施設状況(要更新)'!$C316</f>
        <v/>
      </c>
      <c r="W316" s="26">
        <f>'施設状況(要更新)'!$F316</f>
        <v>0</v>
      </c>
      <c r="X316" s="27"/>
      <c r="Y316" s="26"/>
    </row>
    <row r="317" spans="1:25">
      <c r="A317" s="32"/>
      <c r="B317" s="24"/>
      <c r="C317" s="24"/>
      <c r="D317" s="24"/>
      <c r="E317" s="24"/>
      <c r="F317" s="24"/>
      <c r="G317" s="24"/>
      <c r="H317" s="24"/>
      <c r="I317" s="24"/>
      <c r="J317" s="24"/>
      <c r="K317" s="24"/>
      <c r="L317" s="24"/>
      <c r="M317" s="24"/>
      <c r="N317" s="24"/>
      <c r="O317" s="24"/>
      <c r="P317" s="24"/>
      <c r="Q317" s="24"/>
      <c r="R317" s="24"/>
      <c r="S317" s="25">
        <f t="shared" si="16"/>
        <v>0</v>
      </c>
      <c r="T317" s="25">
        <f>COUNTIF($V$4:V317,V317)</f>
        <v>128</v>
      </c>
      <c r="U317" s="25" t="str">
        <f>IF(T317=1,COUNTIF($T$4:T317,1),"")</f>
        <v/>
      </c>
      <c r="V317" s="26" t="str">
        <f>'施設状況(要更新)'!$E317&amp;'施設状況(要更新)'!$C317</f>
        <v/>
      </c>
      <c r="W317" s="26">
        <f>'施設状況(要更新)'!$F317</f>
        <v>0</v>
      </c>
      <c r="X317" s="27"/>
      <c r="Y317" s="26"/>
    </row>
    <row r="318" spans="1:25">
      <c r="A318" s="32"/>
      <c r="B318" s="24"/>
      <c r="C318" s="24"/>
      <c r="D318" s="24"/>
      <c r="E318" s="24"/>
      <c r="F318" s="24"/>
      <c r="G318" s="24"/>
      <c r="H318" s="24"/>
      <c r="I318" s="24"/>
      <c r="J318" s="24"/>
      <c r="K318" s="24"/>
      <c r="L318" s="24"/>
      <c r="M318" s="24"/>
      <c r="N318" s="24"/>
      <c r="O318" s="24"/>
      <c r="P318" s="24"/>
      <c r="Q318" s="24"/>
      <c r="R318" s="24"/>
      <c r="S318" s="25">
        <f t="shared" si="16"/>
        <v>0</v>
      </c>
      <c r="T318" s="25">
        <f>COUNTIF($V$4:V318,V318)</f>
        <v>129</v>
      </c>
      <c r="U318" s="25" t="str">
        <f>IF(T318=1,COUNTIF($T$4:T318,1),"")</f>
        <v/>
      </c>
      <c r="V318" s="26" t="str">
        <f>'施設状況(要更新)'!$E318&amp;'施設状況(要更新)'!$C318</f>
        <v/>
      </c>
      <c r="W318" s="26">
        <f>'施設状況(要更新)'!$F318</f>
        <v>0</v>
      </c>
      <c r="X318" s="27"/>
      <c r="Y318" s="26"/>
    </row>
    <row r="319" spans="1:25">
      <c r="A319" s="32"/>
      <c r="B319" s="24"/>
      <c r="C319" s="24"/>
      <c r="D319" s="24"/>
      <c r="E319" s="24"/>
      <c r="F319" s="24"/>
      <c r="G319" s="24"/>
      <c r="H319" s="24"/>
      <c r="I319" s="24"/>
      <c r="J319" s="24"/>
      <c r="K319" s="24"/>
      <c r="L319" s="24"/>
      <c r="M319" s="24"/>
      <c r="N319" s="24"/>
      <c r="O319" s="24"/>
      <c r="P319" s="24"/>
      <c r="Q319" s="24"/>
      <c r="R319" s="24"/>
      <c r="S319" s="25">
        <f t="shared" si="16"/>
        <v>0</v>
      </c>
      <c r="T319" s="25">
        <f>COUNTIF($V$4:V319,V319)</f>
        <v>130</v>
      </c>
      <c r="U319" s="25" t="str">
        <f>IF(T319=1,COUNTIF($T$4:T319,1),"")</f>
        <v/>
      </c>
      <c r="V319" s="26" t="str">
        <f>'施設状況(要更新)'!$E319&amp;'施設状況(要更新)'!$C319</f>
        <v/>
      </c>
      <c r="W319" s="26">
        <f>'施設状況(要更新)'!$F319</f>
        <v>0</v>
      </c>
      <c r="X319" s="27"/>
      <c r="Y319" s="26"/>
    </row>
    <row r="320" spans="1:25">
      <c r="A320" s="32"/>
      <c r="B320" s="24"/>
      <c r="C320" s="24"/>
      <c r="D320" s="24"/>
      <c r="E320" s="24"/>
      <c r="F320" s="24"/>
      <c r="G320" s="24"/>
      <c r="H320" s="24"/>
      <c r="I320" s="24"/>
      <c r="J320" s="24"/>
      <c r="K320" s="24"/>
      <c r="L320" s="24"/>
      <c r="M320" s="24"/>
      <c r="N320" s="24"/>
      <c r="O320" s="24"/>
      <c r="P320" s="24"/>
      <c r="Q320" s="24"/>
      <c r="R320" s="24"/>
      <c r="S320" s="25">
        <f t="shared" si="16"/>
        <v>0</v>
      </c>
      <c r="T320" s="25">
        <f>COUNTIF($V$4:V320,V320)</f>
        <v>131</v>
      </c>
      <c r="U320" s="25" t="str">
        <f>IF(T320=1,COUNTIF($T$4:T320,1),"")</f>
        <v/>
      </c>
      <c r="V320" s="26" t="str">
        <f>'施設状況(要更新)'!$E320&amp;'施設状況(要更新)'!$C320</f>
        <v/>
      </c>
      <c r="W320" s="26">
        <f>'施設状況(要更新)'!$F320</f>
        <v>0</v>
      </c>
      <c r="X320" s="27"/>
      <c r="Y320" s="26"/>
    </row>
    <row r="321" spans="1:33">
      <c r="A321" s="32"/>
      <c r="B321" s="24"/>
      <c r="C321" s="24"/>
      <c r="D321" s="24"/>
      <c r="E321" s="24"/>
      <c r="F321" s="24"/>
      <c r="G321" s="24"/>
      <c r="H321" s="24"/>
      <c r="I321" s="24"/>
      <c r="J321" s="24"/>
      <c r="K321" s="24"/>
      <c r="L321" s="24"/>
      <c r="M321" s="24"/>
      <c r="N321" s="24"/>
      <c r="O321" s="24"/>
      <c r="P321" s="24"/>
      <c r="Q321" s="24"/>
      <c r="R321" s="24"/>
      <c r="S321" s="25">
        <f t="shared" si="16"/>
        <v>0</v>
      </c>
      <c r="T321" s="25">
        <f>COUNTIF($V$4:V321,V321)</f>
        <v>132</v>
      </c>
      <c r="U321" s="25" t="str">
        <f>IF(T321=1,COUNTIF($T$4:T321,1),"")</f>
        <v/>
      </c>
      <c r="V321" s="26" t="str">
        <f>'施設状況(要更新)'!$E321&amp;'施設状況(要更新)'!$C321</f>
        <v/>
      </c>
      <c r="W321" s="26">
        <f>'施設状況(要更新)'!$F321</f>
        <v>0</v>
      </c>
      <c r="X321" s="27"/>
      <c r="Y321" s="26"/>
    </row>
    <row r="322" spans="1:33">
      <c r="A322" s="32"/>
      <c r="B322" s="24"/>
      <c r="C322" s="24"/>
      <c r="D322" s="24"/>
      <c r="E322" s="24"/>
      <c r="F322" s="24"/>
      <c r="G322" s="24"/>
      <c r="H322" s="24"/>
      <c r="I322" s="24"/>
      <c r="J322" s="24"/>
      <c r="K322" s="24"/>
      <c r="L322" s="24"/>
      <c r="M322" s="24"/>
      <c r="N322" s="24"/>
      <c r="O322" s="24"/>
      <c r="P322" s="24"/>
      <c r="Q322" s="24"/>
      <c r="R322" s="24"/>
      <c r="S322" s="25">
        <f t="shared" si="16"/>
        <v>0</v>
      </c>
      <c r="T322" s="25">
        <f>COUNTIF($V$4:V322,V322)</f>
        <v>133</v>
      </c>
      <c r="U322" s="25" t="str">
        <f>IF(T322=1,COUNTIF($T$4:T322,1),"")</f>
        <v/>
      </c>
      <c r="V322" s="26" t="str">
        <f>'施設状況(要更新)'!$E322&amp;'施設状況(要更新)'!$C322</f>
        <v/>
      </c>
      <c r="W322" s="26">
        <f>'施設状況(要更新)'!$F322</f>
        <v>0</v>
      </c>
      <c r="X322" s="27"/>
      <c r="Y322" s="26"/>
    </row>
    <row r="323" spans="1:33">
      <c r="A323" s="32"/>
      <c r="B323" s="24"/>
      <c r="C323" s="24"/>
      <c r="D323" s="24"/>
      <c r="E323" s="24"/>
      <c r="F323" s="24"/>
      <c r="G323" s="24"/>
      <c r="H323" s="24"/>
      <c r="I323" s="24"/>
      <c r="J323" s="24"/>
      <c r="K323" s="24"/>
      <c r="L323" s="24"/>
      <c r="M323" s="24"/>
      <c r="N323" s="24"/>
      <c r="O323" s="24"/>
      <c r="P323" s="24"/>
      <c r="Q323" s="24"/>
      <c r="R323" s="24"/>
      <c r="S323" s="25">
        <f t="shared" si="16"/>
        <v>0</v>
      </c>
      <c r="T323" s="25">
        <f>COUNTIF($V$4:V323,V323)</f>
        <v>134</v>
      </c>
      <c r="U323" s="25" t="str">
        <f>IF(T323=1,COUNTIF($T$4:T323,1),"")</f>
        <v/>
      </c>
      <c r="V323" s="26" t="str">
        <f>'施設状況(要更新)'!$E323&amp;'施設状況(要更新)'!$C323</f>
        <v/>
      </c>
      <c r="W323" s="26">
        <f>'施設状況(要更新)'!$F323</f>
        <v>0</v>
      </c>
      <c r="X323" s="27"/>
      <c r="Y323" s="26"/>
    </row>
    <row r="324" spans="1:33">
      <c r="A324" s="32"/>
      <c r="B324" s="24"/>
      <c r="C324" s="24"/>
      <c r="D324" s="24"/>
      <c r="E324" s="24"/>
      <c r="F324" s="24"/>
      <c r="G324" s="24"/>
      <c r="H324" s="24"/>
      <c r="I324" s="24"/>
      <c r="J324" s="24"/>
      <c r="K324" s="24"/>
      <c r="L324" s="24"/>
      <c r="M324" s="24"/>
      <c r="N324" s="24"/>
      <c r="O324" s="24"/>
      <c r="P324" s="24"/>
      <c r="Q324" s="24"/>
      <c r="R324" s="24"/>
      <c r="S324" s="25">
        <f t="shared" si="16"/>
        <v>0</v>
      </c>
      <c r="T324" s="25">
        <f>COUNTIF($V$4:V324,V324)</f>
        <v>135</v>
      </c>
      <c r="U324" s="25" t="str">
        <f>IF(T324=1,COUNTIF($T$4:T324,1),"")</f>
        <v/>
      </c>
      <c r="V324" s="26" t="str">
        <f>'施設状況(要更新)'!$E324&amp;'施設状況(要更新)'!$C324</f>
        <v/>
      </c>
      <c r="W324" s="26">
        <f>'施設状況(要更新)'!$F324</f>
        <v>0</v>
      </c>
      <c r="X324" s="27"/>
      <c r="Y324" s="26"/>
    </row>
    <row r="325" spans="1:33">
      <c r="A325" s="32"/>
      <c r="B325" s="24"/>
      <c r="C325" s="24"/>
      <c r="D325" s="24"/>
      <c r="E325" s="24"/>
      <c r="F325" s="24"/>
      <c r="G325" s="24"/>
      <c r="H325" s="24"/>
      <c r="I325" s="24"/>
      <c r="J325" s="24"/>
      <c r="K325" s="24"/>
      <c r="L325" s="24"/>
      <c r="M325" s="24"/>
      <c r="N325" s="24"/>
      <c r="O325" s="24"/>
      <c r="P325" s="24"/>
      <c r="Q325" s="24"/>
      <c r="R325" s="24"/>
      <c r="S325" s="25">
        <f t="shared" si="16"/>
        <v>0</v>
      </c>
      <c r="T325" s="25">
        <f>COUNTIF($V$4:V325,V325)</f>
        <v>136</v>
      </c>
      <c r="U325" s="25" t="str">
        <f>IF(T325=1,COUNTIF($T$4:T325,1),"")</f>
        <v/>
      </c>
      <c r="V325" s="26" t="str">
        <f>'施設状況(要更新)'!$E325&amp;'施設状況(要更新)'!$C325</f>
        <v/>
      </c>
      <c r="W325" s="26">
        <f>'施設状況(要更新)'!$F325</f>
        <v>0</v>
      </c>
      <c r="X325" s="27"/>
      <c r="Y325" s="26"/>
      <c r="Z325" s="26"/>
      <c r="AA325" s="26"/>
      <c r="AB325" s="26"/>
      <c r="AC325" s="26"/>
      <c r="AD325" s="26"/>
      <c r="AE325" s="26"/>
      <c r="AF325" s="26"/>
      <c r="AG325" s="26"/>
    </row>
    <row r="326" spans="1:33">
      <c r="A326" s="32"/>
      <c r="B326" s="24"/>
      <c r="C326" s="24"/>
      <c r="D326" s="24"/>
      <c r="E326" s="24"/>
      <c r="F326" s="24"/>
      <c r="G326" s="24"/>
      <c r="H326" s="24"/>
      <c r="I326" s="24"/>
      <c r="J326" s="24"/>
      <c r="K326" s="24"/>
      <c r="L326" s="24"/>
      <c r="M326" s="24"/>
      <c r="N326" s="24"/>
      <c r="O326" s="24"/>
      <c r="P326" s="24"/>
      <c r="Q326" s="24"/>
      <c r="R326" s="24"/>
      <c r="S326" s="25">
        <f t="shared" si="16"/>
        <v>0</v>
      </c>
      <c r="T326" s="25">
        <f>COUNTIF($V$4:V326,V326)</f>
        <v>137</v>
      </c>
      <c r="U326" s="25" t="str">
        <f>IF(T326=1,COUNTIF($T$4:T326,1),"")</f>
        <v/>
      </c>
      <c r="V326" s="26" t="str">
        <f>'施設状況(要更新)'!$E326&amp;'施設状況(要更新)'!$C326</f>
        <v/>
      </c>
      <c r="W326" s="26">
        <f>'施設状況(要更新)'!$F326</f>
        <v>0</v>
      </c>
      <c r="X326" s="27"/>
      <c r="Y326" s="26"/>
    </row>
    <row r="327" spans="1:33">
      <c r="A327" s="32"/>
      <c r="B327" s="24"/>
      <c r="C327" s="24"/>
      <c r="D327" s="24"/>
      <c r="E327" s="24"/>
      <c r="F327" s="24"/>
      <c r="G327" s="24"/>
      <c r="H327" s="24"/>
      <c r="I327" s="24"/>
      <c r="J327" s="24"/>
      <c r="K327" s="24"/>
      <c r="L327" s="24"/>
      <c r="M327" s="24"/>
      <c r="N327" s="24"/>
      <c r="O327" s="24"/>
      <c r="P327" s="24"/>
      <c r="Q327" s="24"/>
      <c r="R327" s="24"/>
      <c r="S327" s="25">
        <f t="shared" si="16"/>
        <v>0</v>
      </c>
      <c r="T327" s="25">
        <f>COUNTIF($V$4:V327,V327)</f>
        <v>138</v>
      </c>
      <c r="U327" s="25" t="str">
        <f>IF(T327=1,COUNTIF($T$4:T327,1),"")</f>
        <v/>
      </c>
      <c r="V327" s="26" t="str">
        <f>'施設状況(要更新)'!$E327&amp;'施設状況(要更新)'!$C327</f>
        <v/>
      </c>
      <c r="W327" s="26">
        <f>'施設状況(要更新)'!$F327</f>
        <v>0</v>
      </c>
      <c r="X327" s="27"/>
      <c r="Y327" s="26"/>
    </row>
    <row r="328" spans="1:33">
      <c r="A328" s="32"/>
      <c r="B328" s="24"/>
      <c r="C328" s="24"/>
      <c r="D328" s="24"/>
      <c r="E328" s="24"/>
      <c r="F328" s="24"/>
      <c r="G328" s="24"/>
      <c r="H328" s="24"/>
      <c r="I328" s="24"/>
      <c r="J328" s="24"/>
      <c r="K328" s="24"/>
      <c r="L328" s="24"/>
      <c r="M328" s="24"/>
      <c r="N328" s="24"/>
      <c r="O328" s="24"/>
      <c r="P328" s="24"/>
      <c r="Q328" s="24"/>
      <c r="R328" s="24"/>
      <c r="S328" s="25">
        <f t="shared" si="16"/>
        <v>0</v>
      </c>
      <c r="T328" s="25">
        <f>COUNTIF($V$4:V328,V328)</f>
        <v>139</v>
      </c>
      <c r="U328" s="25" t="str">
        <f>IF(T328=1,COUNTIF($T$4:T328,1),"")</f>
        <v/>
      </c>
      <c r="V328" s="26" t="str">
        <f>'施設状況(要更新)'!$E328&amp;'施設状況(要更新)'!$C328</f>
        <v/>
      </c>
      <c r="W328" s="26">
        <f>'施設状況(要更新)'!$F328</f>
        <v>0</v>
      </c>
      <c r="X328" s="27"/>
      <c r="Y328" s="26"/>
      <c r="Z328" s="26"/>
      <c r="AA328" s="26"/>
      <c r="AB328" s="26"/>
      <c r="AC328" s="26"/>
      <c r="AD328" s="26"/>
      <c r="AE328" s="26"/>
      <c r="AF328" s="26"/>
      <c r="AG328" s="26"/>
    </row>
    <row r="329" spans="1:33">
      <c r="A329" s="32"/>
      <c r="B329" s="24"/>
      <c r="C329" s="24"/>
      <c r="D329" s="24"/>
      <c r="E329" s="24"/>
      <c r="F329" s="24"/>
      <c r="G329" s="24"/>
      <c r="H329" s="24"/>
      <c r="I329" s="24"/>
      <c r="J329" s="24"/>
      <c r="K329" s="24"/>
      <c r="L329" s="24"/>
      <c r="M329" s="24"/>
      <c r="N329" s="24"/>
      <c r="O329" s="24"/>
      <c r="P329" s="24"/>
      <c r="Q329" s="24"/>
      <c r="R329" s="24"/>
      <c r="S329" s="25">
        <f t="shared" si="16"/>
        <v>0</v>
      </c>
      <c r="T329" s="25">
        <f>COUNTIF($V$4:V329,V329)</f>
        <v>140</v>
      </c>
      <c r="U329" s="25" t="str">
        <f>IF(T329=1,COUNTIF($T$4:T329,1),"")</f>
        <v/>
      </c>
      <c r="V329" s="26" t="str">
        <f>'施設状況(要更新)'!$E329&amp;'施設状況(要更新)'!$C329</f>
        <v/>
      </c>
      <c r="W329" s="26">
        <f>'施設状況(要更新)'!$F329</f>
        <v>0</v>
      </c>
      <c r="X329" s="27"/>
      <c r="Y329" s="26"/>
    </row>
    <row r="330" spans="1:33">
      <c r="A330" s="32"/>
      <c r="B330" s="24"/>
      <c r="C330" s="24"/>
      <c r="D330" s="24"/>
      <c r="E330" s="24"/>
      <c r="F330" s="24"/>
      <c r="G330" s="24"/>
      <c r="H330" s="24"/>
      <c r="I330" s="24"/>
      <c r="J330" s="24"/>
      <c r="K330" s="24"/>
      <c r="L330" s="24"/>
      <c r="M330" s="24"/>
      <c r="N330" s="24"/>
      <c r="O330" s="24"/>
      <c r="P330" s="24"/>
      <c r="Q330" s="24"/>
      <c r="R330" s="24"/>
      <c r="S330" s="25">
        <f t="shared" si="16"/>
        <v>0</v>
      </c>
      <c r="T330" s="25">
        <f>COUNTIF($V$4:V330,V330)</f>
        <v>141</v>
      </c>
      <c r="U330" s="25" t="str">
        <f>IF(T330=1,COUNTIF($T$4:T330,1),"")</f>
        <v/>
      </c>
      <c r="V330" s="26" t="str">
        <f>'施設状況(要更新)'!$E330&amp;'施設状況(要更新)'!$C330</f>
        <v/>
      </c>
      <c r="W330" s="26">
        <f>'施設状況(要更新)'!$F330</f>
        <v>0</v>
      </c>
      <c r="X330" s="27"/>
      <c r="Y330" s="26"/>
    </row>
    <row r="331" spans="1:33">
      <c r="A331" s="32"/>
      <c r="B331" s="24"/>
      <c r="C331" s="24"/>
      <c r="D331" s="24"/>
      <c r="E331" s="24"/>
      <c r="F331" s="24"/>
      <c r="G331" s="24"/>
      <c r="H331" s="24"/>
      <c r="I331" s="24"/>
      <c r="J331" s="24"/>
      <c r="K331" s="24"/>
      <c r="L331" s="24"/>
      <c r="M331" s="24"/>
      <c r="N331" s="24"/>
      <c r="O331" s="24"/>
      <c r="P331" s="24"/>
      <c r="Q331" s="24"/>
      <c r="R331" s="24"/>
      <c r="S331" s="25">
        <f t="shared" si="16"/>
        <v>0</v>
      </c>
      <c r="T331" s="25">
        <f>COUNTIF($V$4:V331,V331)</f>
        <v>142</v>
      </c>
      <c r="U331" s="25" t="str">
        <f>IF(T331=1,COUNTIF($T$4:T331,1),"")</f>
        <v/>
      </c>
      <c r="V331" s="26" t="str">
        <f>'施設状況(要更新)'!$E331&amp;'施設状況(要更新)'!$C331</f>
        <v/>
      </c>
      <c r="W331" s="26">
        <f>'施設状況(要更新)'!$F331</f>
        <v>0</v>
      </c>
      <c r="X331" s="27"/>
      <c r="Y331" s="26"/>
    </row>
    <row r="332" spans="1:33">
      <c r="A332" s="32"/>
      <c r="B332" s="24"/>
      <c r="C332" s="24"/>
      <c r="D332" s="24"/>
      <c r="E332" s="24"/>
      <c r="F332" s="24"/>
      <c r="G332" s="24"/>
      <c r="H332" s="24"/>
      <c r="I332" s="24"/>
      <c r="J332" s="24"/>
      <c r="K332" s="24"/>
      <c r="L332" s="24"/>
      <c r="M332" s="24"/>
      <c r="N332" s="24"/>
      <c r="O332" s="24"/>
      <c r="P332" s="24"/>
      <c r="Q332" s="24"/>
      <c r="R332" s="24"/>
      <c r="S332" s="25">
        <f t="shared" si="16"/>
        <v>0</v>
      </c>
      <c r="T332" s="25">
        <f>COUNTIF($V$4:V332,V332)</f>
        <v>143</v>
      </c>
      <c r="U332" s="25" t="str">
        <f>IF(T332=1,COUNTIF($T$4:T332,1),"")</f>
        <v/>
      </c>
      <c r="V332" s="26" t="str">
        <f>'施設状況(要更新)'!$E332&amp;'施設状況(要更新)'!$C332</f>
        <v/>
      </c>
      <c r="W332" s="26">
        <f>'施設状況(要更新)'!$F332</f>
        <v>0</v>
      </c>
      <c r="X332" s="27"/>
      <c r="Y332" s="26"/>
    </row>
    <row r="333" spans="1:33">
      <c r="A333" s="32"/>
      <c r="B333" s="24"/>
      <c r="C333" s="24"/>
      <c r="D333" s="24"/>
      <c r="E333" s="24"/>
      <c r="F333" s="24"/>
      <c r="G333" s="24"/>
      <c r="H333" s="24"/>
      <c r="I333" s="24"/>
      <c r="J333" s="24"/>
      <c r="K333" s="24"/>
      <c r="L333" s="24"/>
      <c r="M333" s="24"/>
      <c r="N333" s="24"/>
      <c r="O333" s="24"/>
      <c r="P333" s="24"/>
      <c r="Q333" s="24"/>
      <c r="R333" s="24"/>
      <c r="S333" s="25">
        <f t="shared" si="16"/>
        <v>0</v>
      </c>
      <c r="T333" s="25">
        <f>COUNTIF($V$4:V333,V333)</f>
        <v>144</v>
      </c>
      <c r="U333" s="25" t="str">
        <f>IF(T333=1,COUNTIF($T$4:T333,1),"")</f>
        <v/>
      </c>
      <c r="V333" s="26" t="str">
        <f>'施設状況(要更新)'!$E333&amp;'施設状況(要更新)'!$C333</f>
        <v/>
      </c>
      <c r="W333" s="26">
        <f>'施設状況(要更新)'!$F333</f>
        <v>0</v>
      </c>
      <c r="X333" s="27"/>
      <c r="Y333" s="26"/>
    </row>
    <row r="334" spans="1:33">
      <c r="A334" s="32"/>
      <c r="B334" s="24"/>
      <c r="C334" s="24"/>
      <c r="D334" s="24"/>
      <c r="E334" s="24"/>
      <c r="F334" s="24"/>
      <c r="G334" s="24"/>
      <c r="H334" s="24"/>
      <c r="I334" s="24"/>
      <c r="J334" s="24"/>
      <c r="K334" s="24"/>
      <c r="L334" s="24"/>
      <c r="M334" s="24"/>
      <c r="N334" s="24"/>
      <c r="O334" s="24"/>
      <c r="P334" s="24"/>
      <c r="Q334" s="24"/>
      <c r="R334" s="24"/>
      <c r="S334" s="25">
        <f t="shared" si="16"/>
        <v>0</v>
      </c>
      <c r="T334" s="25">
        <f>COUNTIF($V$4:V334,V334)</f>
        <v>145</v>
      </c>
      <c r="U334" s="25" t="str">
        <f>IF(T334=1,COUNTIF($T$4:T334,1),"")</f>
        <v/>
      </c>
      <c r="V334" s="26" t="str">
        <f>'施設状況(要更新)'!$E334&amp;'施設状況(要更新)'!$C334</f>
        <v/>
      </c>
      <c r="W334" s="26">
        <f>'施設状況(要更新)'!$F334</f>
        <v>0</v>
      </c>
      <c r="X334" s="27"/>
      <c r="Y334" s="26"/>
    </row>
    <row r="335" spans="1:33">
      <c r="A335" s="32"/>
      <c r="B335" s="24"/>
      <c r="C335" s="24"/>
      <c r="D335" s="24"/>
      <c r="E335" s="24"/>
      <c r="F335" s="24"/>
      <c r="G335" s="24"/>
      <c r="H335" s="24"/>
      <c r="I335" s="24"/>
      <c r="J335" s="24"/>
      <c r="K335" s="24"/>
      <c r="L335" s="24"/>
      <c r="M335" s="24"/>
      <c r="N335" s="24"/>
      <c r="O335" s="24"/>
      <c r="P335" s="24"/>
      <c r="Q335" s="24"/>
      <c r="R335" s="24"/>
      <c r="S335" s="25">
        <f t="shared" si="16"/>
        <v>0</v>
      </c>
      <c r="T335" s="25">
        <f>COUNTIF($V$4:V335,V335)</f>
        <v>146</v>
      </c>
      <c r="U335" s="25" t="str">
        <f>IF(T335=1,COUNTIF($T$4:T335,1),"")</f>
        <v/>
      </c>
      <c r="V335" s="26" t="str">
        <f>'施設状況(要更新)'!$E335&amp;'施設状況(要更新)'!$C335</f>
        <v/>
      </c>
      <c r="W335" s="26">
        <f>'施設状況(要更新)'!$F335</f>
        <v>0</v>
      </c>
      <c r="X335" s="27"/>
      <c r="Y335" s="26"/>
    </row>
    <row r="336" spans="1:33">
      <c r="A336" s="32"/>
      <c r="B336" s="24"/>
      <c r="C336" s="24"/>
      <c r="D336" s="24"/>
      <c r="E336" s="24"/>
      <c r="F336" s="24"/>
      <c r="G336" s="24"/>
      <c r="H336" s="24"/>
      <c r="I336" s="24"/>
      <c r="J336" s="24"/>
      <c r="K336" s="24"/>
      <c r="L336" s="24"/>
      <c r="M336" s="24"/>
      <c r="N336" s="24"/>
      <c r="O336" s="24"/>
      <c r="P336" s="24"/>
      <c r="Q336" s="24"/>
      <c r="R336" s="24"/>
      <c r="S336" s="25">
        <f t="shared" si="16"/>
        <v>0</v>
      </c>
      <c r="T336" s="25">
        <f>COUNTIF($V$4:V336,V336)</f>
        <v>147</v>
      </c>
      <c r="U336" s="25" t="str">
        <f>IF(T336=1,COUNTIF($T$4:T336,1),"")</f>
        <v/>
      </c>
      <c r="V336" s="26" t="str">
        <f>'施設状況(要更新)'!$E336&amp;'施設状況(要更新)'!$C336</f>
        <v/>
      </c>
      <c r="W336" s="26">
        <f>'施設状況(要更新)'!$F336</f>
        <v>0</v>
      </c>
      <c r="X336" s="27"/>
      <c r="Y336" s="26"/>
    </row>
    <row r="337" spans="1:33">
      <c r="A337" s="32"/>
      <c r="B337" s="24"/>
      <c r="C337" s="24"/>
      <c r="D337" s="24"/>
      <c r="E337" s="24"/>
      <c r="F337" s="24"/>
      <c r="G337" s="24"/>
      <c r="H337" s="24"/>
      <c r="I337" s="24"/>
      <c r="J337" s="24"/>
      <c r="K337" s="24"/>
      <c r="L337" s="24"/>
      <c r="M337" s="24"/>
      <c r="N337" s="24"/>
      <c r="O337" s="24"/>
      <c r="P337" s="24"/>
      <c r="Q337" s="24"/>
      <c r="R337" s="24"/>
      <c r="S337" s="25">
        <f t="shared" si="16"/>
        <v>0</v>
      </c>
      <c r="T337" s="25">
        <f>COUNTIF($V$4:V337,V337)</f>
        <v>148</v>
      </c>
      <c r="U337" s="25" t="str">
        <f>IF(T337=1,COUNTIF($T$4:T337,1),"")</f>
        <v/>
      </c>
      <c r="V337" s="26" t="str">
        <f>'施設状況(要更新)'!$E337&amp;'施設状況(要更新)'!$C337</f>
        <v/>
      </c>
      <c r="W337" s="26">
        <f>'施設状況(要更新)'!$F337</f>
        <v>0</v>
      </c>
      <c r="X337" s="27"/>
      <c r="Y337" s="26"/>
    </row>
    <row r="338" spans="1:33">
      <c r="A338" s="32"/>
      <c r="B338" s="24"/>
      <c r="C338" s="24"/>
      <c r="D338" s="24"/>
      <c r="E338" s="24"/>
      <c r="F338" s="24"/>
      <c r="G338" s="24"/>
      <c r="H338" s="24"/>
      <c r="I338" s="24"/>
      <c r="J338" s="24"/>
      <c r="K338" s="24"/>
      <c r="L338" s="24"/>
      <c r="M338" s="24"/>
      <c r="N338" s="24"/>
      <c r="O338" s="24"/>
      <c r="P338" s="24"/>
      <c r="Q338" s="24"/>
      <c r="R338" s="24"/>
      <c r="S338" s="25">
        <f t="shared" si="16"/>
        <v>0</v>
      </c>
      <c r="T338" s="25">
        <f>COUNTIF($V$4:V338,V338)</f>
        <v>149</v>
      </c>
      <c r="U338" s="25" t="str">
        <f>IF(T338=1,COUNTIF($T$4:T338,1),"")</f>
        <v/>
      </c>
      <c r="V338" s="26" t="str">
        <f>'施設状況(要更新)'!$E338&amp;'施設状況(要更新)'!$C338</f>
        <v/>
      </c>
      <c r="W338" s="26">
        <f>'施設状況(要更新)'!$F338</f>
        <v>0</v>
      </c>
      <c r="X338" s="27"/>
      <c r="Y338" s="26"/>
    </row>
    <row r="339" spans="1:33">
      <c r="A339" s="32"/>
      <c r="B339" s="24"/>
      <c r="C339" s="24"/>
      <c r="D339" s="24"/>
      <c r="E339" s="24"/>
      <c r="F339" s="24"/>
      <c r="G339" s="24"/>
      <c r="H339" s="24"/>
      <c r="I339" s="24"/>
      <c r="J339" s="24"/>
      <c r="K339" s="24"/>
      <c r="L339" s="24"/>
      <c r="M339" s="24"/>
      <c r="N339" s="24"/>
      <c r="O339" s="24"/>
      <c r="P339" s="24"/>
      <c r="Q339" s="24"/>
      <c r="R339" s="24"/>
      <c r="S339" s="25">
        <f t="shared" si="16"/>
        <v>0</v>
      </c>
      <c r="T339" s="25">
        <f>COUNTIF($V$4:V339,V339)</f>
        <v>150</v>
      </c>
      <c r="U339" s="25" t="str">
        <f>IF(T339=1,COUNTIF($T$4:T339,1),"")</f>
        <v/>
      </c>
      <c r="V339" s="26" t="str">
        <f>'施設状況(要更新)'!$E339&amp;'施設状況(要更新)'!$C339</f>
        <v/>
      </c>
      <c r="W339" s="26">
        <f>'施設状況(要更新)'!$F339</f>
        <v>0</v>
      </c>
      <c r="X339" s="27"/>
      <c r="Y339" s="26"/>
    </row>
    <row r="340" spans="1:33">
      <c r="A340" s="32"/>
      <c r="B340" s="24"/>
      <c r="C340" s="24"/>
      <c r="D340" s="24"/>
      <c r="E340" s="24"/>
      <c r="F340" s="24"/>
      <c r="G340" s="24"/>
      <c r="H340" s="24"/>
      <c r="I340" s="24"/>
      <c r="J340" s="24"/>
      <c r="K340" s="24"/>
      <c r="L340" s="24"/>
      <c r="M340" s="24"/>
      <c r="N340" s="24"/>
      <c r="O340" s="24"/>
      <c r="P340" s="24"/>
      <c r="Q340" s="24"/>
      <c r="R340" s="24"/>
      <c r="S340" s="25">
        <f t="shared" si="16"/>
        <v>0</v>
      </c>
      <c r="T340" s="25">
        <f>COUNTIF($V$4:V340,V340)</f>
        <v>151</v>
      </c>
      <c r="U340" s="25" t="str">
        <f>IF(T340=1,COUNTIF($T$4:T340,1),"")</f>
        <v/>
      </c>
      <c r="V340" s="26" t="str">
        <f>'施設状況(要更新)'!$E340&amp;'施設状況(要更新)'!$C340</f>
        <v/>
      </c>
      <c r="W340" s="26">
        <f>'施設状況(要更新)'!$F340</f>
        <v>0</v>
      </c>
      <c r="X340" s="27"/>
      <c r="Y340" s="26"/>
    </row>
    <row r="341" spans="1:33">
      <c r="A341" s="32"/>
      <c r="B341" s="24"/>
      <c r="C341" s="24"/>
      <c r="D341" s="24"/>
      <c r="E341" s="24"/>
      <c r="F341" s="24"/>
      <c r="G341" s="24"/>
      <c r="H341" s="24"/>
      <c r="I341" s="24"/>
      <c r="J341" s="24"/>
      <c r="K341" s="24"/>
      <c r="L341" s="24"/>
      <c r="M341" s="24"/>
      <c r="N341" s="24"/>
      <c r="O341" s="24"/>
      <c r="P341" s="24"/>
      <c r="Q341" s="24"/>
      <c r="R341" s="24"/>
      <c r="S341" s="25">
        <f t="shared" si="16"/>
        <v>0</v>
      </c>
      <c r="T341" s="25">
        <f>COUNTIF($V$4:V341,V341)</f>
        <v>152</v>
      </c>
      <c r="U341" s="25" t="str">
        <f>IF(T341=1,COUNTIF($T$4:T341,1),"")</f>
        <v/>
      </c>
      <c r="V341" s="26" t="str">
        <f>'施設状況(要更新)'!$E341&amp;'施設状況(要更新)'!$C341</f>
        <v/>
      </c>
      <c r="W341" s="26">
        <f>'施設状況(要更新)'!$F341</f>
        <v>0</v>
      </c>
      <c r="X341" s="27"/>
      <c r="Y341" s="26"/>
    </row>
    <row r="342" spans="1:33">
      <c r="A342" s="32"/>
      <c r="B342" s="24"/>
      <c r="C342" s="24"/>
      <c r="D342" s="24"/>
      <c r="E342" s="24"/>
      <c r="F342" s="24"/>
      <c r="G342" s="24"/>
      <c r="H342" s="24"/>
      <c r="I342" s="24"/>
      <c r="J342" s="24"/>
      <c r="K342" s="24"/>
      <c r="L342" s="24"/>
      <c r="M342" s="24"/>
      <c r="N342" s="24"/>
      <c r="O342" s="24"/>
      <c r="P342" s="24"/>
      <c r="Q342" s="24"/>
      <c r="R342" s="24"/>
      <c r="S342" s="25">
        <f t="shared" si="16"/>
        <v>0</v>
      </c>
      <c r="T342" s="25">
        <f>COUNTIF($V$4:V342,V342)</f>
        <v>153</v>
      </c>
      <c r="U342" s="25" t="str">
        <f>IF(T342=1,COUNTIF($T$4:T342,1),"")</f>
        <v/>
      </c>
      <c r="V342" s="26" t="str">
        <f>'施設状況(要更新)'!$E342&amp;'施設状況(要更新)'!$C342</f>
        <v/>
      </c>
      <c r="W342" s="26">
        <f>'施設状況(要更新)'!$F342</f>
        <v>0</v>
      </c>
      <c r="X342" s="27"/>
      <c r="Y342" s="26"/>
    </row>
    <row r="343" spans="1:33">
      <c r="A343" s="32"/>
      <c r="B343" s="24"/>
      <c r="C343" s="24"/>
      <c r="D343" s="24"/>
      <c r="E343" s="24"/>
      <c r="F343" s="24"/>
      <c r="G343" s="24"/>
      <c r="H343" s="24"/>
      <c r="I343" s="24"/>
      <c r="J343" s="24"/>
      <c r="K343" s="24"/>
      <c r="L343" s="24"/>
      <c r="M343" s="24"/>
      <c r="N343" s="24"/>
      <c r="O343" s="24"/>
      <c r="P343" s="24"/>
      <c r="Q343" s="24"/>
      <c r="R343" s="24"/>
      <c r="S343" s="25">
        <f t="shared" si="16"/>
        <v>0</v>
      </c>
      <c r="T343" s="25">
        <f>COUNTIF($V$4:V343,V343)</f>
        <v>154</v>
      </c>
      <c r="U343" s="25" t="str">
        <f>IF(T343=1,COUNTIF($T$4:T343,1),"")</f>
        <v/>
      </c>
      <c r="V343" s="26" t="str">
        <f>'施設状況(要更新)'!$E343&amp;'施設状況(要更新)'!$C343</f>
        <v/>
      </c>
      <c r="W343" s="26">
        <f>'施設状況(要更新)'!$F343</f>
        <v>0</v>
      </c>
      <c r="X343" s="27"/>
      <c r="Y343" s="26"/>
      <c r="Z343" s="26"/>
      <c r="AA343" s="26"/>
      <c r="AB343" s="26"/>
      <c r="AC343" s="26"/>
      <c r="AD343" s="26"/>
      <c r="AE343" s="26"/>
      <c r="AF343" s="26"/>
      <c r="AG343" s="26"/>
    </row>
    <row r="344" spans="1:33">
      <c r="A344" s="32"/>
      <c r="B344" s="24"/>
      <c r="C344" s="24"/>
      <c r="D344" s="24"/>
      <c r="E344" s="24"/>
      <c r="F344" s="24"/>
      <c r="G344" s="24"/>
      <c r="H344" s="24"/>
      <c r="I344" s="24"/>
      <c r="J344" s="24"/>
      <c r="K344" s="24"/>
      <c r="L344" s="24"/>
      <c r="M344" s="24"/>
      <c r="N344" s="24"/>
      <c r="O344" s="24"/>
      <c r="P344" s="24"/>
      <c r="Q344" s="24"/>
      <c r="R344" s="24"/>
      <c r="S344" s="25">
        <f t="shared" si="16"/>
        <v>0</v>
      </c>
      <c r="T344" s="25">
        <f>COUNTIF($V$4:V344,V344)</f>
        <v>155</v>
      </c>
      <c r="U344" s="25" t="str">
        <f>IF(T344=1,COUNTIF($T$4:T344,1),"")</f>
        <v/>
      </c>
      <c r="V344" s="26" t="str">
        <f>'施設状況(要更新)'!$E344&amp;'施設状況(要更新)'!$C344</f>
        <v/>
      </c>
      <c r="W344" s="26">
        <f>'施設状況(要更新)'!$F344</f>
        <v>0</v>
      </c>
      <c r="X344" s="27"/>
      <c r="Y344" s="26"/>
    </row>
    <row r="345" spans="1:33">
      <c r="A345" s="32"/>
      <c r="B345" s="24"/>
      <c r="C345" s="24"/>
      <c r="D345" s="24"/>
      <c r="E345" s="24"/>
      <c r="F345" s="24"/>
      <c r="G345" s="24"/>
      <c r="H345" s="24"/>
      <c r="I345" s="24"/>
      <c r="J345" s="24"/>
      <c r="K345" s="24"/>
      <c r="L345" s="24"/>
      <c r="M345" s="24"/>
      <c r="N345" s="24"/>
      <c r="O345" s="24"/>
      <c r="P345" s="24"/>
      <c r="Q345" s="24"/>
      <c r="R345" s="24"/>
      <c r="S345" s="25">
        <f t="shared" si="16"/>
        <v>0</v>
      </c>
      <c r="T345" s="25">
        <f>COUNTIF($V$4:V345,V345)</f>
        <v>156</v>
      </c>
      <c r="U345" s="25" t="str">
        <f>IF(T345=1,COUNTIF($T$4:T345,1),"")</f>
        <v/>
      </c>
      <c r="V345" s="26" t="str">
        <f>'施設状況(要更新)'!$E345&amp;'施設状況(要更新)'!$C345</f>
        <v/>
      </c>
      <c r="W345" s="26">
        <f>'施設状況(要更新)'!$F345</f>
        <v>0</v>
      </c>
      <c r="X345" s="27"/>
      <c r="Y345" s="26"/>
    </row>
    <row r="346" spans="1:33">
      <c r="A346" s="32"/>
      <c r="B346" s="24"/>
      <c r="C346" s="24"/>
      <c r="D346" s="24"/>
      <c r="E346" s="24"/>
      <c r="F346" s="24"/>
      <c r="G346" s="24"/>
      <c r="H346" s="24"/>
      <c r="I346" s="24"/>
      <c r="J346" s="24"/>
      <c r="K346" s="24"/>
      <c r="L346" s="24"/>
      <c r="M346" s="24"/>
      <c r="N346" s="24"/>
      <c r="O346" s="24"/>
      <c r="P346" s="24"/>
      <c r="Q346" s="24"/>
      <c r="R346" s="24"/>
      <c r="S346" s="25">
        <f t="shared" si="16"/>
        <v>0</v>
      </c>
      <c r="T346" s="25">
        <f>COUNTIF($V$4:V346,V346)</f>
        <v>157</v>
      </c>
      <c r="U346" s="25" t="str">
        <f>IF(T346=1,COUNTIF($T$4:T346,1),"")</f>
        <v/>
      </c>
      <c r="V346" s="26" t="str">
        <f>'施設状況(要更新)'!$E346&amp;'施設状況(要更新)'!$C346</f>
        <v/>
      </c>
      <c r="W346" s="26">
        <f>'施設状況(要更新)'!$F346</f>
        <v>0</v>
      </c>
      <c r="X346" s="27"/>
      <c r="Y346" s="26"/>
    </row>
    <row r="347" spans="1:33">
      <c r="A347" s="32"/>
      <c r="B347" s="24"/>
      <c r="C347" s="24"/>
      <c r="D347" s="24"/>
      <c r="E347" s="24"/>
      <c r="F347" s="24"/>
      <c r="G347" s="24"/>
      <c r="H347" s="24"/>
      <c r="I347" s="24"/>
      <c r="J347" s="24"/>
      <c r="K347" s="24"/>
      <c r="L347" s="24"/>
      <c r="M347" s="24"/>
      <c r="N347" s="24"/>
      <c r="O347" s="24"/>
      <c r="P347" s="24"/>
      <c r="Q347" s="24"/>
      <c r="R347" s="24"/>
      <c r="S347" s="25">
        <f t="shared" si="16"/>
        <v>0</v>
      </c>
      <c r="T347" s="25">
        <f>COUNTIF($V$4:V347,V347)</f>
        <v>158</v>
      </c>
      <c r="U347" s="25" t="str">
        <f>IF(T347=1,COUNTIF($T$4:T347,1),"")</f>
        <v/>
      </c>
      <c r="V347" s="26" t="str">
        <f>'施設状況(要更新)'!$E347&amp;'施設状況(要更新)'!$C347</f>
        <v/>
      </c>
      <c r="W347" s="26">
        <f>'施設状況(要更新)'!$F347</f>
        <v>0</v>
      </c>
      <c r="X347" s="27"/>
      <c r="Y347" s="26"/>
    </row>
    <row r="348" spans="1:33">
      <c r="A348" s="32"/>
      <c r="B348" s="24"/>
      <c r="C348" s="24"/>
      <c r="D348" s="24"/>
      <c r="E348" s="24"/>
      <c r="F348" s="24"/>
      <c r="G348" s="24"/>
      <c r="H348" s="24"/>
      <c r="I348" s="24"/>
      <c r="J348" s="24"/>
      <c r="K348" s="24"/>
      <c r="L348" s="24"/>
      <c r="M348" s="24"/>
      <c r="N348" s="24"/>
      <c r="O348" s="24"/>
      <c r="P348" s="24"/>
      <c r="Q348" s="24"/>
      <c r="R348" s="24"/>
      <c r="S348" s="25">
        <f t="shared" si="16"/>
        <v>0</v>
      </c>
      <c r="T348" s="25">
        <f>COUNTIF($V$4:V348,V348)</f>
        <v>159</v>
      </c>
      <c r="U348" s="25" t="str">
        <f>IF(T348=1,COUNTIF($T$4:T348,1),"")</f>
        <v/>
      </c>
      <c r="V348" s="26" t="str">
        <f>'施設状況(要更新)'!$E348&amp;'施設状況(要更新)'!$C348</f>
        <v/>
      </c>
      <c r="W348" s="26">
        <f>'施設状況(要更新)'!$F348</f>
        <v>0</v>
      </c>
      <c r="X348" s="27"/>
      <c r="Y348" s="26"/>
    </row>
    <row r="349" spans="1:33">
      <c r="A349" s="32"/>
      <c r="B349" s="24"/>
      <c r="C349" s="24"/>
      <c r="D349" s="24"/>
      <c r="E349" s="24"/>
      <c r="F349" s="24"/>
      <c r="G349" s="24"/>
      <c r="H349" s="24"/>
      <c r="I349" s="24"/>
      <c r="J349" s="24"/>
      <c r="K349" s="24"/>
      <c r="L349" s="24"/>
      <c r="M349" s="24"/>
      <c r="N349" s="24"/>
      <c r="O349" s="24"/>
      <c r="P349" s="24"/>
      <c r="Q349" s="24"/>
      <c r="R349" s="24"/>
      <c r="S349" s="25">
        <f t="shared" si="16"/>
        <v>0</v>
      </c>
      <c r="T349" s="25">
        <f>COUNTIF($V$4:V349,V349)</f>
        <v>160</v>
      </c>
      <c r="U349" s="25" t="str">
        <f>IF(T349=1,COUNTIF($T$4:T349,1),"")</f>
        <v/>
      </c>
      <c r="V349" s="26" t="str">
        <f>'施設状況(要更新)'!$E349&amp;'施設状況(要更新)'!$C349</f>
        <v/>
      </c>
      <c r="W349" s="26">
        <f>'施設状況(要更新)'!$F349</f>
        <v>0</v>
      </c>
      <c r="X349" s="27"/>
      <c r="Y349" s="26"/>
    </row>
    <row r="350" spans="1:33">
      <c r="A350" s="32"/>
      <c r="B350" s="24"/>
      <c r="C350" s="24"/>
      <c r="D350" s="24"/>
      <c r="E350" s="24"/>
      <c r="F350" s="24"/>
      <c r="G350" s="24"/>
      <c r="H350" s="24"/>
      <c r="I350" s="24"/>
      <c r="J350" s="24"/>
      <c r="K350" s="24"/>
      <c r="L350" s="24"/>
      <c r="M350" s="24"/>
      <c r="N350" s="24"/>
      <c r="O350" s="24"/>
      <c r="P350" s="24"/>
      <c r="Q350" s="24"/>
      <c r="R350" s="24"/>
      <c r="S350" s="25">
        <f t="shared" si="16"/>
        <v>0</v>
      </c>
      <c r="T350" s="25">
        <f>COUNTIF($V$4:V350,V350)</f>
        <v>161</v>
      </c>
      <c r="U350" s="25" t="str">
        <f>IF(T350=1,COUNTIF($T$4:T350,1),"")</f>
        <v/>
      </c>
      <c r="V350" s="26" t="str">
        <f>'施設状況(要更新)'!$E350&amp;'施設状況(要更新)'!$C350</f>
        <v/>
      </c>
      <c r="W350" s="26">
        <f>'施設状況(要更新)'!$F350</f>
        <v>0</v>
      </c>
      <c r="X350" s="27"/>
      <c r="Y350" s="26"/>
    </row>
    <row r="351" spans="1:33">
      <c r="A351" s="32"/>
      <c r="B351" s="24"/>
      <c r="C351" s="24"/>
      <c r="D351" s="24"/>
      <c r="E351" s="24"/>
      <c r="F351" s="24"/>
      <c r="G351" s="24"/>
      <c r="H351" s="24"/>
      <c r="I351" s="24"/>
      <c r="J351" s="24"/>
      <c r="K351" s="24"/>
      <c r="L351" s="24"/>
      <c r="M351" s="24"/>
      <c r="N351" s="24"/>
      <c r="O351" s="24"/>
      <c r="P351" s="24"/>
      <c r="Q351" s="24"/>
      <c r="R351" s="24"/>
      <c r="S351" s="25">
        <f t="shared" si="16"/>
        <v>0</v>
      </c>
      <c r="T351" s="25">
        <f>COUNTIF($V$4:V351,V351)</f>
        <v>162</v>
      </c>
      <c r="U351" s="25" t="str">
        <f>IF(T351=1,COUNTIF($T$4:T351,1),"")</f>
        <v/>
      </c>
      <c r="V351" s="26" t="str">
        <f>'施設状況(要更新)'!$E351&amp;'施設状況(要更新)'!$C351</f>
        <v/>
      </c>
      <c r="W351" s="26">
        <f>'施設状況(要更新)'!$F351</f>
        <v>0</v>
      </c>
      <c r="X351" s="27"/>
      <c r="Y351" s="26"/>
    </row>
    <row r="352" spans="1:33">
      <c r="A352" s="32"/>
      <c r="B352" s="24"/>
      <c r="C352" s="24"/>
      <c r="D352" s="24"/>
      <c r="E352" s="24"/>
      <c r="F352" s="24"/>
      <c r="G352" s="24"/>
      <c r="H352" s="24"/>
      <c r="I352" s="24"/>
      <c r="J352" s="24"/>
      <c r="K352" s="24"/>
      <c r="L352" s="24"/>
      <c r="M352" s="24"/>
      <c r="N352" s="24"/>
      <c r="O352" s="24"/>
      <c r="P352" s="24"/>
      <c r="Q352" s="24"/>
      <c r="R352" s="24"/>
      <c r="S352" s="25">
        <f t="shared" si="16"/>
        <v>0</v>
      </c>
      <c r="T352" s="25">
        <f>COUNTIF($V$4:V352,V352)</f>
        <v>163</v>
      </c>
      <c r="U352" s="25" t="str">
        <f>IF(T352=1,COUNTIF($T$4:T352,1),"")</f>
        <v/>
      </c>
      <c r="V352" s="26" t="str">
        <f>'施設状況(要更新)'!$E352&amp;'施設状況(要更新)'!$C352</f>
        <v/>
      </c>
      <c r="W352" s="26">
        <f>'施設状況(要更新)'!$F352</f>
        <v>0</v>
      </c>
      <c r="X352" s="27"/>
      <c r="Y352" s="26"/>
    </row>
    <row r="353" spans="1:25">
      <c r="A353" s="32"/>
      <c r="B353" s="24"/>
      <c r="C353" s="24"/>
      <c r="D353" s="24"/>
      <c r="E353" s="24"/>
      <c r="F353" s="24"/>
      <c r="G353" s="24"/>
      <c r="H353" s="24"/>
      <c r="I353" s="24"/>
      <c r="J353" s="24"/>
      <c r="K353" s="24"/>
      <c r="L353" s="24"/>
      <c r="M353" s="24"/>
      <c r="N353" s="24"/>
      <c r="O353" s="24"/>
      <c r="P353" s="24"/>
      <c r="Q353" s="24"/>
      <c r="R353" s="24"/>
      <c r="S353" s="25">
        <f t="shared" si="16"/>
        <v>0</v>
      </c>
      <c r="T353" s="25">
        <f>COUNTIF($V$4:V353,V353)</f>
        <v>164</v>
      </c>
      <c r="U353" s="25" t="str">
        <f>IF(T353=1,COUNTIF($T$4:T353,1),"")</f>
        <v/>
      </c>
      <c r="V353" s="26" t="str">
        <f>'施設状況(要更新)'!$E353&amp;'施設状況(要更新)'!$C353</f>
        <v/>
      </c>
      <c r="W353" s="26">
        <f>'施設状況(要更新)'!$F353</f>
        <v>0</v>
      </c>
      <c r="X353" s="27"/>
      <c r="Y353" s="26"/>
    </row>
    <row r="354" spans="1:25">
      <c r="A354" s="32"/>
      <c r="B354" s="24"/>
      <c r="C354" s="24"/>
      <c r="D354" s="24"/>
      <c r="E354" s="24"/>
      <c r="F354" s="24"/>
      <c r="G354" s="24"/>
      <c r="H354" s="24"/>
      <c r="I354" s="24"/>
      <c r="J354" s="24"/>
      <c r="K354" s="24"/>
      <c r="L354" s="24"/>
      <c r="M354" s="24"/>
      <c r="N354" s="24"/>
      <c r="O354" s="24"/>
      <c r="P354" s="24"/>
      <c r="Q354" s="24"/>
      <c r="R354" s="24"/>
      <c r="S354" s="25">
        <f t="shared" si="16"/>
        <v>0</v>
      </c>
      <c r="T354" s="25">
        <f>COUNTIF($V$4:V354,V354)</f>
        <v>165</v>
      </c>
      <c r="U354" s="25" t="str">
        <f>IF(T354=1,COUNTIF($T$4:T354,1),"")</f>
        <v/>
      </c>
      <c r="V354" s="26" t="str">
        <f>'施設状況(要更新)'!$E354&amp;'施設状況(要更新)'!$C354</f>
        <v/>
      </c>
      <c r="W354" s="26">
        <f>'施設状況(要更新)'!$F354</f>
        <v>0</v>
      </c>
      <c r="X354" s="27"/>
      <c r="Y354" s="26"/>
    </row>
    <row r="355" spans="1:25">
      <c r="A355" s="32"/>
      <c r="B355" s="24"/>
      <c r="C355" s="24"/>
      <c r="D355" s="24"/>
      <c r="E355" s="24"/>
      <c r="F355" s="24"/>
      <c r="G355" s="24"/>
      <c r="H355" s="24"/>
      <c r="I355" s="24"/>
      <c r="J355" s="24"/>
      <c r="K355" s="24"/>
      <c r="L355" s="24"/>
      <c r="M355" s="24"/>
      <c r="N355" s="24"/>
      <c r="O355" s="24"/>
      <c r="P355" s="24"/>
      <c r="Q355" s="24"/>
      <c r="R355" s="24"/>
      <c r="S355" s="25">
        <f t="shared" si="16"/>
        <v>0</v>
      </c>
      <c r="T355" s="25">
        <f>COUNTIF($V$4:V355,V355)</f>
        <v>166</v>
      </c>
      <c r="U355" s="25" t="str">
        <f>IF(T355=1,COUNTIF($T$4:T355,1),"")</f>
        <v/>
      </c>
      <c r="V355" s="26" t="str">
        <f>'施設状況(要更新)'!$E355&amp;'施設状況(要更新)'!$C355</f>
        <v/>
      </c>
      <c r="W355" s="26">
        <f>'施設状況(要更新)'!$F355</f>
        <v>0</v>
      </c>
      <c r="X355" s="27"/>
      <c r="Y355" s="26"/>
    </row>
    <row r="356" spans="1:25">
      <c r="A356" s="32"/>
      <c r="B356" s="24"/>
      <c r="C356" s="24"/>
      <c r="D356" s="24"/>
      <c r="E356" s="24"/>
      <c r="F356" s="24"/>
      <c r="G356" s="24"/>
      <c r="H356" s="24"/>
      <c r="I356" s="24"/>
      <c r="J356" s="24"/>
      <c r="K356" s="24"/>
      <c r="L356" s="24"/>
      <c r="M356" s="24"/>
      <c r="N356" s="24"/>
      <c r="O356" s="24"/>
      <c r="P356" s="24"/>
      <c r="Q356" s="24"/>
      <c r="R356" s="24"/>
      <c r="S356" s="25">
        <f t="shared" si="16"/>
        <v>0</v>
      </c>
      <c r="T356" s="25">
        <f>COUNTIF($V$4:V356,V356)</f>
        <v>167</v>
      </c>
      <c r="U356" s="25" t="str">
        <f>IF(T356=1,COUNTIF($T$4:T356,1),"")</f>
        <v/>
      </c>
      <c r="V356" s="26" t="str">
        <f>'施設状況(要更新)'!$E356&amp;'施設状況(要更新)'!$C356</f>
        <v/>
      </c>
      <c r="W356" s="26">
        <f>'施設状況(要更新)'!$F356</f>
        <v>0</v>
      </c>
      <c r="X356" s="27"/>
      <c r="Y356" s="26"/>
    </row>
    <row r="357" spans="1:25">
      <c r="A357" s="32"/>
      <c r="B357" s="24"/>
      <c r="C357" s="24"/>
      <c r="D357" s="24"/>
      <c r="E357" s="24"/>
      <c r="F357" s="24"/>
      <c r="G357" s="24"/>
      <c r="H357" s="24"/>
      <c r="I357" s="24"/>
      <c r="J357" s="24"/>
      <c r="K357" s="24"/>
      <c r="L357" s="24"/>
      <c r="M357" s="24"/>
      <c r="N357" s="24"/>
      <c r="O357" s="24"/>
      <c r="P357" s="24"/>
      <c r="Q357" s="24"/>
      <c r="R357" s="24"/>
      <c r="S357" s="25">
        <f t="shared" si="16"/>
        <v>0</v>
      </c>
      <c r="T357" s="25">
        <f>COUNTIF($V$4:V357,V357)</f>
        <v>168</v>
      </c>
      <c r="U357" s="25" t="str">
        <f>IF(T357=1,COUNTIF($T$4:T357,1),"")</f>
        <v/>
      </c>
      <c r="V357" s="26" t="str">
        <f>'施設状況(要更新)'!$E357&amp;'施設状況(要更新)'!$C357</f>
        <v/>
      </c>
      <c r="W357" s="26">
        <f>'施設状況(要更新)'!$F357</f>
        <v>0</v>
      </c>
      <c r="X357" s="27"/>
      <c r="Y357" s="26"/>
    </row>
    <row r="358" spans="1:25">
      <c r="A358" s="32"/>
      <c r="B358" s="24"/>
      <c r="C358" s="24"/>
      <c r="D358" s="24"/>
      <c r="E358" s="24"/>
      <c r="F358" s="24"/>
      <c r="G358" s="24"/>
      <c r="H358" s="24"/>
      <c r="I358" s="24"/>
      <c r="J358" s="24"/>
      <c r="K358" s="24"/>
      <c r="L358" s="24"/>
      <c r="M358" s="24"/>
      <c r="N358" s="24"/>
      <c r="O358" s="24"/>
      <c r="P358" s="24"/>
      <c r="Q358" s="24"/>
      <c r="R358" s="24"/>
      <c r="S358" s="25">
        <f t="shared" si="16"/>
        <v>0</v>
      </c>
      <c r="T358" s="25">
        <f>COUNTIF($V$4:V358,V358)</f>
        <v>169</v>
      </c>
      <c r="U358" s="25" t="str">
        <f>IF(T358=1,COUNTIF($T$4:T358,1),"")</f>
        <v/>
      </c>
      <c r="V358" s="26" t="str">
        <f>'施設状況(要更新)'!$E358&amp;'施設状況(要更新)'!$C358</f>
        <v/>
      </c>
      <c r="W358" s="26">
        <f>'施設状況(要更新)'!$F358</f>
        <v>0</v>
      </c>
      <c r="X358" s="27"/>
      <c r="Y358" s="26"/>
    </row>
    <row r="359" spans="1:25">
      <c r="A359" s="32"/>
      <c r="B359" s="24"/>
      <c r="C359" s="24"/>
      <c r="D359" s="24"/>
      <c r="E359" s="24"/>
      <c r="F359" s="24"/>
      <c r="G359" s="24"/>
      <c r="H359" s="24"/>
      <c r="I359" s="24"/>
      <c r="J359" s="24"/>
      <c r="K359" s="24"/>
      <c r="L359" s="24"/>
      <c r="M359" s="24"/>
      <c r="N359" s="24"/>
      <c r="O359" s="24"/>
      <c r="P359" s="24"/>
      <c r="Q359" s="24"/>
      <c r="R359" s="24"/>
      <c r="S359" s="25">
        <f t="shared" si="16"/>
        <v>0</v>
      </c>
      <c r="T359" s="25">
        <f>COUNTIF($V$4:V359,V359)</f>
        <v>170</v>
      </c>
      <c r="U359" s="25" t="str">
        <f>IF(T359=1,COUNTIF($T$4:T359,1),"")</f>
        <v/>
      </c>
      <c r="V359" s="26" t="str">
        <f>'施設状況(要更新)'!$E359&amp;'施設状況(要更新)'!$C359</f>
        <v/>
      </c>
      <c r="W359" s="26">
        <f>'施設状況(要更新)'!$F359</f>
        <v>0</v>
      </c>
      <c r="X359" s="27"/>
      <c r="Y359" s="26"/>
    </row>
    <row r="360" spans="1:25">
      <c r="A360" s="32"/>
      <c r="B360" s="24"/>
      <c r="C360" s="24"/>
      <c r="D360" s="24"/>
      <c r="E360" s="24"/>
      <c r="F360" s="24"/>
      <c r="G360" s="24"/>
      <c r="H360" s="24"/>
      <c r="I360" s="24"/>
      <c r="J360" s="24"/>
      <c r="K360" s="24"/>
      <c r="L360" s="24"/>
      <c r="M360" s="24"/>
      <c r="N360" s="24"/>
      <c r="O360" s="24"/>
      <c r="P360" s="24"/>
      <c r="Q360" s="24"/>
      <c r="R360" s="24"/>
      <c r="S360" s="25">
        <f t="shared" si="16"/>
        <v>0</v>
      </c>
      <c r="T360" s="25">
        <f>COUNTIF($V$4:V360,V360)</f>
        <v>171</v>
      </c>
      <c r="U360" s="25" t="str">
        <f>IF(T360=1,COUNTIF($T$4:T360,1),"")</f>
        <v/>
      </c>
      <c r="V360" s="26" t="str">
        <f>'施設状況(要更新)'!$E360&amp;'施設状況(要更新)'!$C360</f>
        <v/>
      </c>
      <c r="W360" s="26">
        <f>'施設状況(要更新)'!$F360</f>
        <v>0</v>
      </c>
      <c r="X360" s="27"/>
      <c r="Y360" s="26"/>
    </row>
    <row r="361" spans="1:25">
      <c r="A361" s="32"/>
      <c r="B361" s="24"/>
      <c r="C361" s="24"/>
      <c r="D361" s="24"/>
      <c r="E361" s="24"/>
      <c r="F361" s="24"/>
      <c r="G361" s="24"/>
      <c r="H361" s="24"/>
      <c r="I361" s="24"/>
      <c r="J361" s="24"/>
      <c r="K361" s="24"/>
      <c r="L361" s="24"/>
      <c r="M361" s="24"/>
      <c r="N361" s="24"/>
      <c r="O361" s="24"/>
      <c r="P361" s="24"/>
      <c r="Q361" s="24"/>
      <c r="R361" s="24"/>
      <c r="S361" s="25">
        <f t="shared" si="16"/>
        <v>0</v>
      </c>
      <c r="T361" s="25">
        <f>COUNTIF($V$4:V361,V361)</f>
        <v>172</v>
      </c>
      <c r="U361" s="25" t="str">
        <f>IF(T361=1,COUNTIF($T$4:T361,1),"")</f>
        <v/>
      </c>
      <c r="V361" s="26" t="str">
        <f>'施設状況(要更新)'!$E361&amp;'施設状況(要更新)'!$C361</f>
        <v/>
      </c>
      <c r="W361" s="26">
        <f>'施設状況(要更新)'!$F361</f>
        <v>0</v>
      </c>
      <c r="X361" s="27"/>
      <c r="Y361" s="26"/>
    </row>
    <row r="362" spans="1:25">
      <c r="A362" s="32"/>
      <c r="B362" s="24"/>
      <c r="C362" s="24"/>
      <c r="D362" s="24"/>
      <c r="E362" s="24"/>
      <c r="F362" s="24"/>
      <c r="G362" s="24"/>
      <c r="H362" s="24"/>
      <c r="I362" s="24"/>
      <c r="J362" s="24"/>
      <c r="K362" s="24"/>
      <c r="L362" s="24"/>
      <c r="M362" s="24"/>
      <c r="N362" s="24"/>
      <c r="O362" s="24"/>
      <c r="P362" s="24"/>
      <c r="Q362" s="24"/>
      <c r="R362" s="24"/>
      <c r="S362" s="25">
        <f t="shared" si="16"/>
        <v>0</v>
      </c>
      <c r="T362" s="25">
        <f>COUNTIF($V$4:V362,V362)</f>
        <v>173</v>
      </c>
      <c r="U362" s="25" t="str">
        <f>IF(T362=1,COUNTIF($T$4:T362,1),"")</f>
        <v/>
      </c>
      <c r="V362" s="26" t="str">
        <f>'施設状況(要更新)'!$E362&amp;'施設状況(要更新)'!$C362</f>
        <v/>
      </c>
      <c r="W362" s="26">
        <f>'施設状況(要更新)'!$F362</f>
        <v>0</v>
      </c>
      <c r="X362" s="27"/>
      <c r="Y362" s="26"/>
    </row>
    <row r="363" spans="1:25">
      <c r="A363" s="32"/>
      <c r="B363" s="24"/>
      <c r="C363" s="24"/>
      <c r="D363" s="24"/>
      <c r="E363" s="24"/>
      <c r="F363" s="24"/>
      <c r="G363" s="24"/>
      <c r="H363" s="24"/>
      <c r="I363" s="24"/>
      <c r="J363" s="24"/>
      <c r="K363" s="24"/>
      <c r="L363" s="24"/>
      <c r="M363" s="24"/>
      <c r="N363" s="24"/>
      <c r="O363" s="24"/>
      <c r="P363" s="24"/>
      <c r="Q363" s="24"/>
      <c r="R363" s="24"/>
      <c r="S363" s="25">
        <f t="shared" si="16"/>
        <v>0</v>
      </c>
      <c r="T363" s="25">
        <f>COUNTIF($V$4:V363,V363)</f>
        <v>174</v>
      </c>
      <c r="U363" s="25" t="str">
        <f>IF(T363=1,COUNTIF($T$4:T363,1),"")</f>
        <v/>
      </c>
      <c r="V363" s="26" t="str">
        <f>'施設状況(要更新)'!$E363&amp;'施設状況(要更新)'!$C363</f>
        <v/>
      </c>
      <c r="W363" s="26">
        <f>'施設状況(要更新)'!$F363</f>
        <v>0</v>
      </c>
      <c r="X363" s="27"/>
      <c r="Y363" s="26"/>
    </row>
    <row r="364" spans="1:25">
      <c r="A364" s="32"/>
      <c r="B364" s="24"/>
      <c r="C364" s="24"/>
      <c r="D364" s="24"/>
      <c r="E364" s="24"/>
      <c r="F364" s="24"/>
      <c r="G364" s="24"/>
      <c r="H364" s="24"/>
      <c r="I364" s="24"/>
      <c r="J364" s="24"/>
      <c r="K364" s="24"/>
      <c r="L364" s="24"/>
      <c r="M364" s="24"/>
      <c r="N364" s="24"/>
      <c r="O364" s="24"/>
      <c r="P364" s="24"/>
      <c r="Q364" s="24"/>
      <c r="R364" s="24"/>
      <c r="S364" s="25">
        <f t="shared" si="16"/>
        <v>0</v>
      </c>
      <c r="T364" s="25">
        <f>COUNTIF($V$4:V364,V364)</f>
        <v>175</v>
      </c>
      <c r="U364" s="25" t="str">
        <f>IF(T364=1,COUNTIF($T$4:T364,1),"")</f>
        <v/>
      </c>
      <c r="V364" s="26" t="str">
        <f>'施設状況(要更新)'!$E364&amp;'施設状況(要更新)'!$C364</f>
        <v/>
      </c>
      <c r="W364" s="26">
        <f>'施設状況(要更新)'!$F364</f>
        <v>0</v>
      </c>
      <c r="X364" s="27"/>
      <c r="Y364" s="26"/>
    </row>
    <row r="365" spans="1:25">
      <c r="A365" s="32"/>
      <c r="B365" s="24"/>
      <c r="C365" s="24"/>
      <c r="D365" s="24"/>
      <c r="E365" s="24"/>
      <c r="F365" s="24"/>
      <c r="G365" s="24"/>
      <c r="H365" s="24"/>
      <c r="I365" s="24"/>
      <c r="J365" s="24"/>
      <c r="K365" s="24"/>
      <c r="L365" s="24"/>
      <c r="M365" s="24"/>
      <c r="N365" s="24"/>
      <c r="O365" s="24"/>
      <c r="P365" s="24"/>
      <c r="Q365" s="24"/>
      <c r="R365" s="24"/>
      <c r="S365" s="25">
        <f t="shared" si="16"/>
        <v>0</v>
      </c>
      <c r="T365" s="25">
        <f>COUNTIF($V$4:V365,V365)</f>
        <v>176</v>
      </c>
      <c r="U365" s="25" t="str">
        <f>IF(T365=1,COUNTIF($T$4:T365,1),"")</f>
        <v/>
      </c>
      <c r="V365" s="26" t="str">
        <f>'施設状況(要更新)'!$E365&amp;'施設状況(要更新)'!$C365</f>
        <v/>
      </c>
      <c r="W365" s="26">
        <f>'施設状況(要更新)'!$F365</f>
        <v>0</v>
      </c>
      <c r="X365" s="27"/>
      <c r="Y365" s="26"/>
    </row>
    <row r="366" spans="1:25">
      <c r="A366" s="32"/>
      <c r="B366" s="24"/>
      <c r="C366" s="24"/>
      <c r="D366" s="24"/>
      <c r="E366" s="24"/>
      <c r="F366" s="24"/>
      <c r="G366" s="24"/>
      <c r="H366" s="24"/>
      <c r="I366" s="24"/>
      <c r="J366" s="24"/>
      <c r="K366" s="24"/>
      <c r="L366" s="24"/>
      <c r="M366" s="24"/>
      <c r="N366" s="24"/>
      <c r="O366" s="24"/>
      <c r="P366" s="24"/>
      <c r="Q366" s="24"/>
      <c r="R366" s="24"/>
      <c r="S366" s="25">
        <f t="shared" si="16"/>
        <v>0</v>
      </c>
      <c r="T366" s="25">
        <f>COUNTIF($V$4:V366,V366)</f>
        <v>177</v>
      </c>
      <c r="U366" s="25" t="str">
        <f>IF(T366=1,COUNTIF($T$4:T366,1),"")</f>
        <v/>
      </c>
      <c r="V366" s="26" t="str">
        <f>'施設状況(要更新)'!$E366&amp;'施設状況(要更新)'!$C366</f>
        <v/>
      </c>
      <c r="W366" s="26">
        <f>'施設状況(要更新)'!$F366</f>
        <v>0</v>
      </c>
      <c r="X366" s="27"/>
      <c r="Y366" s="26"/>
    </row>
    <row r="367" spans="1:25">
      <c r="A367" s="32"/>
      <c r="B367" s="24"/>
      <c r="C367" s="24"/>
      <c r="D367" s="24"/>
      <c r="E367" s="24"/>
      <c r="F367" s="24"/>
      <c r="G367" s="24"/>
      <c r="H367" s="24"/>
      <c r="I367" s="24"/>
      <c r="J367" s="24"/>
      <c r="K367" s="24"/>
      <c r="L367" s="24"/>
      <c r="M367" s="24"/>
      <c r="N367" s="24"/>
      <c r="O367" s="24"/>
      <c r="P367" s="24"/>
      <c r="Q367" s="24"/>
      <c r="R367" s="24"/>
      <c r="S367" s="25">
        <f t="shared" ref="S367:S430" si="17">A367</f>
        <v>0</v>
      </c>
      <c r="T367" s="25">
        <f>COUNTIF($V$4:V367,V367)</f>
        <v>178</v>
      </c>
      <c r="U367" s="25" t="str">
        <f>IF(T367=1,COUNTIF($T$4:T367,1),"")</f>
        <v/>
      </c>
      <c r="V367" s="26" t="str">
        <f>'施設状況(要更新)'!$E367&amp;'施設状況(要更新)'!$C367</f>
        <v/>
      </c>
      <c r="W367" s="26">
        <f>'施設状況(要更新)'!$F367</f>
        <v>0</v>
      </c>
      <c r="X367" s="27"/>
      <c r="Y367" s="26"/>
    </row>
    <row r="368" spans="1:25">
      <c r="A368" s="32"/>
      <c r="B368" s="24"/>
      <c r="C368" s="24"/>
      <c r="D368" s="24"/>
      <c r="E368" s="24"/>
      <c r="F368" s="24"/>
      <c r="G368" s="24"/>
      <c r="H368" s="24"/>
      <c r="I368" s="24"/>
      <c r="J368" s="24"/>
      <c r="K368" s="24"/>
      <c r="L368" s="24"/>
      <c r="M368" s="24"/>
      <c r="N368" s="24"/>
      <c r="O368" s="24"/>
      <c r="P368" s="24"/>
      <c r="Q368" s="24"/>
      <c r="R368" s="24"/>
      <c r="S368" s="25">
        <f t="shared" si="17"/>
        <v>0</v>
      </c>
      <c r="T368" s="25">
        <f>COUNTIF($V$4:V368,V368)</f>
        <v>179</v>
      </c>
      <c r="U368" s="25" t="str">
        <f>IF(T368=1,COUNTIF($T$4:T368,1),"")</f>
        <v/>
      </c>
      <c r="V368" s="26" t="str">
        <f>'施設状況(要更新)'!$E368&amp;'施設状況(要更新)'!$C368</f>
        <v/>
      </c>
      <c r="W368" s="26">
        <f>'施設状況(要更新)'!$F368</f>
        <v>0</v>
      </c>
      <c r="X368" s="27"/>
      <c r="Y368" s="26"/>
    </row>
    <row r="369" spans="1:33">
      <c r="A369" s="32"/>
      <c r="B369" s="24"/>
      <c r="C369" s="24"/>
      <c r="D369" s="24"/>
      <c r="E369" s="24"/>
      <c r="F369" s="24"/>
      <c r="G369" s="24"/>
      <c r="H369" s="24"/>
      <c r="I369" s="24"/>
      <c r="J369" s="24"/>
      <c r="K369" s="24"/>
      <c r="L369" s="24"/>
      <c r="M369" s="24"/>
      <c r="N369" s="24"/>
      <c r="O369" s="24"/>
      <c r="P369" s="24"/>
      <c r="Q369" s="24"/>
      <c r="R369" s="24"/>
      <c r="S369" s="25">
        <f t="shared" si="17"/>
        <v>0</v>
      </c>
      <c r="T369" s="25">
        <f>COUNTIF($V$4:V369,V369)</f>
        <v>180</v>
      </c>
      <c r="U369" s="25" t="str">
        <f>IF(T369=1,COUNTIF($T$4:T369,1),"")</f>
        <v/>
      </c>
      <c r="V369" s="26" t="str">
        <f>'施設状況(要更新)'!$E369&amp;'施設状況(要更新)'!$C369</f>
        <v/>
      </c>
      <c r="W369" s="26">
        <f>'施設状況(要更新)'!$F369</f>
        <v>0</v>
      </c>
      <c r="X369" s="27"/>
      <c r="Y369" s="26"/>
    </row>
    <row r="370" spans="1:33">
      <c r="A370" s="32"/>
      <c r="B370" s="24"/>
      <c r="C370" s="24"/>
      <c r="D370" s="24"/>
      <c r="E370" s="24"/>
      <c r="F370" s="24"/>
      <c r="G370" s="24"/>
      <c r="H370" s="24"/>
      <c r="I370" s="24"/>
      <c r="J370" s="24"/>
      <c r="K370" s="24"/>
      <c r="L370" s="24"/>
      <c r="M370" s="24"/>
      <c r="N370" s="24"/>
      <c r="O370" s="24"/>
      <c r="P370" s="24"/>
      <c r="Q370" s="24"/>
      <c r="R370" s="24"/>
      <c r="S370" s="25">
        <f t="shared" si="17"/>
        <v>0</v>
      </c>
      <c r="T370" s="25">
        <f>COUNTIF($V$4:V370,V370)</f>
        <v>181</v>
      </c>
      <c r="U370" s="25" t="str">
        <f>IF(T370=1,COUNTIF($T$4:T370,1),"")</f>
        <v/>
      </c>
      <c r="V370" s="26" t="str">
        <f>'施設状況(要更新)'!$E370&amp;'施設状況(要更新)'!$C370</f>
        <v/>
      </c>
      <c r="W370" s="26">
        <f>'施設状況(要更新)'!$F370</f>
        <v>0</v>
      </c>
      <c r="X370" s="27"/>
      <c r="Y370" s="26"/>
    </row>
    <row r="371" spans="1:33">
      <c r="A371" s="32"/>
      <c r="B371" s="24"/>
      <c r="C371" s="24"/>
      <c r="D371" s="24"/>
      <c r="E371" s="24"/>
      <c r="F371" s="24"/>
      <c r="G371" s="24"/>
      <c r="H371" s="24"/>
      <c r="I371" s="24"/>
      <c r="J371" s="24"/>
      <c r="K371" s="24"/>
      <c r="L371" s="24"/>
      <c r="M371" s="24"/>
      <c r="N371" s="24"/>
      <c r="O371" s="24"/>
      <c r="P371" s="24"/>
      <c r="Q371" s="24"/>
      <c r="R371" s="24"/>
      <c r="S371" s="25">
        <f t="shared" si="17"/>
        <v>0</v>
      </c>
      <c r="T371" s="25">
        <f>COUNTIF($V$4:V371,V371)</f>
        <v>182</v>
      </c>
      <c r="U371" s="25" t="str">
        <f>IF(T371=1,COUNTIF($T$4:T371,1),"")</f>
        <v/>
      </c>
      <c r="V371" s="26" t="str">
        <f>'施設状況(要更新)'!$E371&amp;'施設状況(要更新)'!$C371</f>
        <v/>
      </c>
      <c r="W371" s="26">
        <f>'施設状況(要更新)'!$F371</f>
        <v>0</v>
      </c>
      <c r="X371" s="27"/>
      <c r="Y371" s="26"/>
    </row>
    <row r="372" spans="1:33">
      <c r="A372" s="32"/>
      <c r="B372" s="24"/>
      <c r="C372" s="24"/>
      <c r="D372" s="24"/>
      <c r="E372" s="24"/>
      <c r="F372" s="24"/>
      <c r="G372" s="24"/>
      <c r="H372" s="24"/>
      <c r="I372" s="24"/>
      <c r="J372" s="24"/>
      <c r="K372" s="24"/>
      <c r="L372" s="24"/>
      <c r="M372" s="24"/>
      <c r="N372" s="24"/>
      <c r="O372" s="24"/>
      <c r="P372" s="24"/>
      <c r="Q372" s="24"/>
      <c r="R372" s="24"/>
      <c r="S372" s="25">
        <f t="shared" si="17"/>
        <v>0</v>
      </c>
      <c r="T372" s="25">
        <f>COUNTIF($V$4:V372,V372)</f>
        <v>183</v>
      </c>
      <c r="U372" s="25" t="str">
        <f>IF(T372=1,COUNTIF($T$4:T372,1),"")</f>
        <v/>
      </c>
      <c r="V372" s="26" t="str">
        <f>'施設状況(要更新)'!$E372&amp;'施設状況(要更新)'!$C372</f>
        <v/>
      </c>
      <c r="W372" s="26">
        <f>'施設状況(要更新)'!$F372</f>
        <v>0</v>
      </c>
      <c r="X372" s="27"/>
      <c r="Y372" s="26"/>
    </row>
    <row r="373" spans="1:33">
      <c r="A373" s="32"/>
      <c r="B373" s="24"/>
      <c r="C373" s="24"/>
      <c r="D373" s="24"/>
      <c r="E373" s="24"/>
      <c r="F373" s="24"/>
      <c r="G373" s="24"/>
      <c r="H373" s="24"/>
      <c r="I373" s="24"/>
      <c r="J373" s="24"/>
      <c r="K373" s="24"/>
      <c r="L373" s="24"/>
      <c r="M373" s="24"/>
      <c r="N373" s="24"/>
      <c r="O373" s="24"/>
      <c r="P373" s="24"/>
      <c r="Q373" s="24"/>
      <c r="R373" s="24"/>
      <c r="S373" s="25">
        <f t="shared" si="17"/>
        <v>0</v>
      </c>
      <c r="T373" s="25">
        <f>COUNTIF($V$4:V373,V373)</f>
        <v>184</v>
      </c>
      <c r="U373" s="25" t="str">
        <f>IF(T373=1,COUNTIF($T$4:T373,1),"")</f>
        <v/>
      </c>
      <c r="V373" s="26" t="str">
        <f>'施設状況(要更新)'!$E373&amp;'施設状況(要更新)'!$C373</f>
        <v/>
      </c>
      <c r="W373" s="26">
        <f>'施設状況(要更新)'!$F373</f>
        <v>0</v>
      </c>
      <c r="X373" s="27"/>
      <c r="Y373" s="26"/>
    </row>
    <row r="374" spans="1:33">
      <c r="A374" s="32"/>
      <c r="B374" s="24"/>
      <c r="C374" s="24"/>
      <c r="D374" s="24"/>
      <c r="E374" s="24"/>
      <c r="F374" s="24"/>
      <c r="G374" s="24"/>
      <c r="H374" s="24"/>
      <c r="I374" s="24"/>
      <c r="J374" s="24"/>
      <c r="K374" s="24"/>
      <c r="L374" s="24"/>
      <c r="M374" s="24"/>
      <c r="N374" s="24"/>
      <c r="O374" s="24"/>
      <c r="P374" s="24"/>
      <c r="Q374" s="24"/>
      <c r="R374" s="24"/>
      <c r="S374" s="25">
        <f t="shared" si="17"/>
        <v>0</v>
      </c>
      <c r="T374" s="25">
        <f>COUNTIF($V$4:V374,V374)</f>
        <v>185</v>
      </c>
      <c r="U374" s="25" t="str">
        <f>IF(T374=1,COUNTIF($T$4:T374,1),"")</f>
        <v/>
      </c>
      <c r="V374" s="26" t="str">
        <f>'施設状況(要更新)'!$E374&amp;'施設状況(要更新)'!$C374</f>
        <v/>
      </c>
      <c r="W374" s="26">
        <f>'施設状況(要更新)'!$F374</f>
        <v>0</v>
      </c>
      <c r="X374" s="27"/>
      <c r="Y374" s="26"/>
    </row>
    <row r="375" spans="1:33">
      <c r="A375" s="32"/>
      <c r="B375" s="24"/>
      <c r="C375" s="24"/>
      <c r="D375" s="24"/>
      <c r="E375" s="24"/>
      <c r="F375" s="24"/>
      <c r="G375" s="24"/>
      <c r="H375" s="24"/>
      <c r="I375" s="24"/>
      <c r="J375" s="24"/>
      <c r="K375" s="24"/>
      <c r="L375" s="24"/>
      <c r="M375" s="24"/>
      <c r="N375" s="24"/>
      <c r="O375" s="24"/>
      <c r="P375" s="24"/>
      <c r="Q375" s="24"/>
      <c r="R375" s="24"/>
      <c r="S375" s="25">
        <f t="shared" si="17"/>
        <v>0</v>
      </c>
      <c r="T375" s="25">
        <f>COUNTIF($V$4:V375,V375)</f>
        <v>186</v>
      </c>
      <c r="U375" s="25" t="str">
        <f>IF(T375=1,COUNTIF($T$4:T375,1),"")</f>
        <v/>
      </c>
      <c r="V375" s="26" t="str">
        <f>'施設状況(要更新)'!$E375&amp;'施設状況(要更新)'!$C375</f>
        <v/>
      </c>
      <c r="W375" s="26">
        <f>'施設状況(要更新)'!$F375</f>
        <v>0</v>
      </c>
      <c r="X375" s="27"/>
      <c r="Y375" s="26"/>
      <c r="Z375" s="26"/>
      <c r="AA375" s="26"/>
      <c r="AB375" s="26"/>
      <c r="AC375" s="26"/>
      <c r="AD375" s="26"/>
      <c r="AE375" s="26"/>
      <c r="AF375" s="26"/>
      <c r="AG375" s="26"/>
    </row>
    <row r="376" spans="1:33">
      <c r="A376" s="32"/>
      <c r="B376" s="24"/>
      <c r="C376" s="24"/>
      <c r="D376" s="24"/>
      <c r="E376" s="24"/>
      <c r="F376" s="24"/>
      <c r="G376" s="24"/>
      <c r="H376" s="24"/>
      <c r="I376" s="24"/>
      <c r="J376" s="24"/>
      <c r="K376" s="24"/>
      <c r="L376" s="24"/>
      <c r="M376" s="24"/>
      <c r="N376" s="24"/>
      <c r="O376" s="24"/>
      <c r="P376" s="24"/>
      <c r="Q376" s="24"/>
      <c r="R376" s="24"/>
      <c r="S376" s="25">
        <f t="shared" si="17"/>
        <v>0</v>
      </c>
      <c r="T376" s="25">
        <f>COUNTIF($V$4:V376,V376)</f>
        <v>187</v>
      </c>
      <c r="U376" s="25" t="str">
        <f>IF(T376=1,COUNTIF($T$4:T376,1),"")</f>
        <v/>
      </c>
      <c r="V376" s="26" t="str">
        <f>'施設状況(要更新)'!$E376&amp;'施設状況(要更新)'!$C376</f>
        <v/>
      </c>
      <c r="W376" s="26">
        <f>'施設状況(要更新)'!$F376</f>
        <v>0</v>
      </c>
      <c r="X376" s="27"/>
      <c r="Y376" s="26"/>
    </row>
    <row r="377" spans="1:33">
      <c r="A377" s="32"/>
      <c r="B377" s="24"/>
      <c r="C377" s="24"/>
      <c r="D377" s="24"/>
      <c r="E377" s="24"/>
      <c r="F377" s="24"/>
      <c r="G377" s="24"/>
      <c r="H377" s="24"/>
      <c r="I377" s="24"/>
      <c r="J377" s="24"/>
      <c r="K377" s="24"/>
      <c r="L377" s="24"/>
      <c r="M377" s="24"/>
      <c r="N377" s="24"/>
      <c r="O377" s="24"/>
      <c r="P377" s="24"/>
      <c r="Q377" s="24"/>
      <c r="R377" s="24"/>
      <c r="S377" s="25">
        <f t="shared" si="17"/>
        <v>0</v>
      </c>
      <c r="T377" s="25">
        <f>COUNTIF($V$4:V377,V377)</f>
        <v>188</v>
      </c>
      <c r="U377" s="25" t="str">
        <f>IF(T377=1,COUNTIF($T$4:T377,1),"")</f>
        <v/>
      </c>
      <c r="V377" s="26" t="str">
        <f>'施設状況(要更新)'!$E377&amp;'施設状況(要更新)'!$C377</f>
        <v/>
      </c>
      <c r="W377" s="26">
        <f>'施設状況(要更新)'!$F377</f>
        <v>0</v>
      </c>
      <c r="X377" s="27"/>
      <c r="Y377" s="26"/>
    </row>
    <row r="378" spans="1:33">
      <c r="A378" s="32"/>
      <c r="B378" s="24"/>
      <c r="C378" s="24"/>
      <c r="D378" s="24"/>
      <c r="E378" s="24"/>
      <c r="F378" s="24"/>
      <c r="G378" s="24"/>
      <c r="H378" s="24"/>
      <c r="I378" s="24"/>
      <c r="J378" s="24"/>
      <c r="K378" s="24"/>
      <c r="L378" s="24"/>
      <c r="M378" s="24"/>
      <c r="N378" s="24"/>
      <c r="O378" s="24"/>
      <c r="P378" s="24"/>
      <c r="Q378" s="24"/>
      <c r="R378" s="24"/>
      <c r="S378" s="25">
        <f t="shared" si="17"/>
        <v>0</v>
      </c>
      <c r="T378" s="25">
        <f>COUNTIF($V$4:V378,V378)</f>
        <v>189</v>
      </c>
      <c r="U378" s="25" t="str">
        <f>IF(T378=1,COUNTIF($T$4:T378,1),"")</f>
        <v/>
      </c>
      <c r="V378" s="26" t="str">
        <f>'施設状況(要更新)'!$E378&amp;'施設状況(要更新)'!$C378</f>
        <v/>
      </c>
      <c r="W378" s="26">
        <f>'施設状況(要更新)'!$F378</f>
        <v>0</v>
      </c>
      <c r="X378" s="27"/>
      <c r="Y378" s="26"/>
    </row>
    <row r="379" spans="1:33">
      <c r="A379" s="32"/>
      <c r="B379" s="24"/>
      <c r="C379" s="24"/>
      <c r="D379" s="24"/>
      <c r="E379" s="24"/>
      <c r="F379" s="24"/>
      <c r="G379" s="24"/>
      <c r="H379" s="24"/>
      <c r="I379" s="24"/>
      <c r="J379" s="24"/>
      <c r="K379" s="24"/>
      <c r="L379" s="24"/>
      <c r="M379" s="24"/>
      <c r="N379" s="24"/>
      <c r="O379" s="24"/>
      <c r="P379" s="24"/>
      <c r="Q379" s="24"/>
      <c r="R379" s="24"/>
      <c r="S379" s="25">
        <f t="shared" si="17"/>
        <v>0</v>
      </c>
      <c r="T379" s="25">
        <f>COUNTIF($V$4:V379,V379)</f>
        <v>190</v>
      </c>
      <c r="U379" s="25" t="str">
        <f>IF(T379=1,COUNTIF($T$4:T379,1),"")</f>
        <v/>
      </c>
      <c r="V379" s="26" t="str">
        <f>'施設状況(要更新)'!$E379&amp;'施設状況(要更新)'!$C379</f>
        <v/>
      </c>
      <c r="W379" s="26">
        <f>'施設状況(要更新)'!$F379</f>
        <v>0</v>
      </c>
      <c r="X379" s="27"/>
      <c r="Y379" s="26"/>
    </row>
    <row r="380" spans="1:33">
      <c r="A380" s="32"/>
      <c r="B380" s="24"/>
      <c r="C380" s="24"/>
      <c r="D380" s="24"/>
      <c r="E380" s="24"/>
      <c r="F380" s="24"/>
      <c r="G380" s="24"/>
      <c r="H380" s="24"/>
      <c r="I380" s="24"/>
      <c r="J380" s="24"/>
      <c r="K380" s="24"/>
      <c r="L380" s="24"/>
      <c r="M380" s="24"/>
      <c r="N380" s="24"/>
      <c r="O380" s="24"/>
      <c r="P380" s="24"/>
      <c r="Q380" s="24"/>
      <c r="R380" s="24"/>
      <c r="S380" s="25">
        <f t="shared" si="17"/>
        <v>0</v>
      </c>
      <c r="T380" s="25">
        <f>COUNTIF($V$4:V380,V380)</f>
        <v>191</v>
      </c>
      <c r="U380" s="25" t="str">
        <f>IF(T380=1,COUNTIF($T$4:T380,1),"")</f>
        <v/>
      </c>
      <c r="V380" s="26" t="str">
        <f>'施設状況(要更新)'!$E380&amp;'施設状況(要更新)'!$C380</f>
        <v/>
      </c>
      <c r="W380" s="26">
        <f>'施設状況(要更新)'!$F380</f>
        <v>0</v>
      </c>
      <c r="X380" s="27"/>
      <c r="Y380" s="26"/>
    </row>
    <row r="381" spans="1:33">
      <c r="A381" s="32"/>
      <c r="B381" s="24"/>
      <c r="C381" s="24"/>
      <c r="D381" s="24"/>
      <c r="E381" s="24"/>
      <c r="F381" s="24"/>
      <c r="G381" s="24"/>
      <c r="H381" s="24"/>
      <c r="I381" s="24"/>
      <c r="J381" s="24"/>
      <c r="K381" s="24"/>
      <c r="L381" s="24"/>
      <c r="M381" s="24"/>
      <c r="N381" s="24"/>
      <c r="O381" s="24"/>
      <c r="P381" s="24"/>
      <c r="Q381" s="24"/>
      <c r="R381" s="24"/>
      <c r="S381" s="25">
        <f t="shared" si="17"/>
        <v>0</v>
      </c>
      <c r="T381" s="25">
        <f>COUNTIF($V$4:V381,V381)</f>
        <v>192</v>
      </c>
      <c r="U381" s="25" t="str">
        <f>IF(T381=1,COUNTIF($T$4:T381,1),"")</f>
        <v/>
      </c>
      <c r="V381" s="26" t="str">
        <f>'施設状況(要更新)'!$E381&amp;'施設状況(要更新)'!$C381</f>
        <v/>
      </c>
      <c r="W381" s="26">
        <f>'施設状況(要更新)'!$F381</f>
        <v>0</v>
      </c>
      <c r="X381" s="27"/>
      <c r="Y381" s="26"/>
    </row>
    <row r="382" spans="1:33">
      <c r="A382" s="45"/>
      <c r="B382" s="46"/>
      <c r="C382" s="46"/>
      <c r="D382" s="46"/>
      <c r="E382" s="46"/>
      <c r="F382" s="47"/>
      <c r="G382" s="47"/>
      <c r="H382" s="47"/>
      <c r="I382" s="47"/>
      <c r="J382" s="46"/>
      <c r="K382" s="47"/>
      <c r="L382" s="47"/>
      <c r="M382" s="47"/>
      <c r="N382" s="47"/>
      <c r="O382" s="47"/>
      <c r="P382" s="47"/>
      <c r="Q382" s="47"/>
      <c r="R382" s="46"/>
      <c r="S382" s="25">
        <f t="shared" si="17"/>
        <v>0</v>
      </c>
      <c r="T382" s="25">
        <f>COUNTIF($V$4:V382,V382)</f>
        <v>193</v>
      </c>
      <c r="U382" s="25" t="str">
        <f>IF(T382=1,COUNTIF($T$4:T382,1),"")</f>
        <v/>
      </c>
      <c r="V382" s="26" t="str">
        <f>'施設状況(要更新)'!$E382&amp;'施設状況(要更新)'!$C382</f>
        <v/>
      </c>
      <c r="W382" s="26">
        <f>'施設状況(要更新)'!$F382</f>
        <v>0</v>
      </c>
      <c r="X382" s="27"/>
      <c r="Y382" s="26"/>
    </row>
    <row r="383" spans="1:33">
      <c r="A383" s="45"/>
      <c r="B383" s="46"/>
      <c r="C383" s="46"/>
      <c r="D383" s="46"/>
      <c r="E383" s="46"/>
      <c r="F383" s="47"/>
      <c r="G383" s="47"/>
      <c r="H383" s="47"/>
      <c r="I383" s="47"/>
      <c r="J383" s="46"/>
      <c r="K383" s="47"/>
      <c r="L383" s="47"/>
      <c r="M383" s="47"/>
      <c r="N383" s="47"/>
      <c r="O383" s="47"/>
      <c r="P383" s="47"/>
      <c r="Q383" s="47"/>
      <c r="R383" s="46"/>
      <c r="S383" s="25">
        <f t="shared" si="17"/>
        <v>0</v>
      </c>
      <c r="T383" s="25">
        <f>COUNTIF($V$4:V383,V383)</f>
        <v>194</v>
      </c>
      <c r="U383" s="25" t="str">
        <f>IF(T383=1,COUNTIF($T$4:T383,1),"")</f>
        <v/>
      </c>
      <c r="V383" s="26" t="str">
        <f>'施設状況(要更新)'!$E383&amp;'施設状況(要更新)'!$C383</f>
        <v/>
      </c>
      <c r="W383" s="26">
        <f>'施設状況(要更新)'!$F383</f>
        <v>0</v>
      </c>
      <c r="X383" s="27"/>
      <c r="Y383" s="26"/>
    </row>
    <row r="384" spans="1:33">
      <c r="A384" s="45"/>
      <c r="B384" s="46"/>
      <c r="C384" s="46"/>
      <c r="D384" s="46"/>
      <c r="E384" s="46"/>
      <c r="F384" s="47"/>
      <c r="G384" s="47"/>
      <c r="H384" s="47"/>
      <c r="I384" s="47"/>
      <c r="J384" s="46"/>
      <c r="K384" s="47"/>
      <c r="L384" s="47"/>
      <c r="M384" s="47"/>
      <c r="N384" s="47"/>
      <c r="O384" s="47"/>
      <c r="P384" s="47"/>
      <c r="Q384" s="47"/>
      <c r="R384" s="46"/>
      <c r="S384" s="25">
        <f t="shared" si="17"/>
        <v>0</v>
      </c>
      <c r="T384" s="25">
        <f>COUNTIF($V$4:V384,V384)</f>
        <v>195</v>
      </c>
      <c r="U384" s="25" t="str">
        <f>IF(T384=1,COUNTIF($T$4:T384,1),"")</f>
        <v/>
      </c>
      <c r="V384" s="26" t="str">
        <f>'施設状況(要更新)'!$E384&amp;'施設状況(要更新)'!$C384</f>
        <v/>
      </c>
      <c r="W384" s="26">
        <f>'施設状況(要更新)'!$F384</f>
        <v>0</v>
      </c>
      <c r="X384" s="27"/>
      <c r="Y384" s="26"/>
    </row>
    <row r="385" spans="1:25">
      <c r="A385" s="45"/>
      <c r="B385" s="46"/>
      <c r="C385" s="46"/>
      <c r="D385" s="46"/>
      <c r="E385" s="46"/>
      <c r="F385" s="47"/>
      <c r="G385" s="47"/>
      <c r="H385" s="47"/>
      <c r="I385" s="47"/>
      <c r="J385" s="46"/>
      <c r="K385" s="47"/>
      <c r="L385" s="47"/>
      <c r="M385" s="47"/>
      <c r="N385" s="47"/>
      <c r="O385" s="47"/>
      <c r="P385" s="47"/>
      <c r="Q385" s="47"/>
      <c r="R385" s="46"/>
      <c r="S385" s="25">
        <f t="shared" si="17"/>
        <v>0</v>
      </c>
      <c r="T385" s="25">
        <f>COUNTIF($V$4:V385,V385)</f>
        <v>196</v>
      </c>
      <c r="U385" s="25" t="str">
        <f>IF(T385=1,COUNTIF($T$4:T385,1),"")</f>
        <v/>
      </c>
      <c r="V385" s="26" t="str">
        <f>'施設状況(要更新)'!$E385&amp;'施設状況(要更新)'!$C385</f>
        <v/>
      </c>
      <c r="W385" s="26">
        <f>'施設状況(要更新)'!$F385</f>
        <v>0</v>
      </c>
      <c r="X385" s="27"/>
      <c r="Y385" s="26"/>
    </row>
    <row r="386" spans="1:25">
      <c r="A386" s="45"/>
      <c r="B386" s="46"/>
      <c r="C386" s="46"/>
      <c r="D386" s="46"/>
      <c r="E386" s="46"/>
      <c r="F386" s="47"/>
      <c r="G386" s="47"/>
      <c r="H386" s="47"/>
      <c r="I386" s="47"/>
      <c r="J386" s="46"/>
      <c r="K386" s="47"/>
      <c r="L386" s="47"/>
      <c r="M386" s="47"/>
      <c r="N386" s="47"/>
      <c r="O386" s="47"/>
      <c r="P386" s="47"/>
      <c r="Q386" s="47"/>
      <c r="R386" s="46"/>
      <c r="S386" s="25">
        <f t="shared" si="17"/>
        <v>0</v>
      </c>
      <c r="T386" s="25">
        <f>COUNTIF($V$4:V386,V386)</f>
        <v>197</v>
      </c>
      <c r="U386" s="25" t="str">
        <f>IF(T386=1,COUNTIF($T$4:T386,1),"")</f>
        <v/>
      </c>
      <c r="V386" s="26" t="str">
        <f>'施設状況(要更新)'!$E386&amp;'施設状況(要更新)'!$C386</f>
        <v/>
      </c>
      <c r="W386" s="26">
        <f>'施設状況(要更新)'!$F386</f>
        <v>0</v>
      </c>
      <c r="X386" s="27"/>
      <c r="Y386" s="26"/>
    </row>
    <row r="387" spans="1:25">
      <c r="A387" s="45"/>
      <c r="B387" s="46"/>
      <c r="C387" s="46"/>
      <c r="D387" s="46"/>
      <c r="E387" s="46"/>
      <c r="F387" s="47"/>
      <c r="G387" s="47"/>
      <c r="H387" s="47"/>
      <c r="I387" s="47"/>
      <c r="J387" s="46"/>
      <c r="K387" s="47"/>
      <c r="L387" s="47"/>
      <c r="M387" s="47"/>
      <c r="N387" s="47"/>
      <c r="O387" s="47"/>
      <c r="P387" s="47"/>
      <c r="Q387" s="47"/>
      <c r="R387" s="46"/>
      <c r="S387" s="25">
        <f t="shared" si="17"/>
        <v>0</v>
      </c>
      <c r="T387" s="25">
        <f>COUNTIF($V$4:V387,V387)</f>
        <v>198</v>
      </c>
      <c r="U387" s="25" t="str">
        <f>IF(T387=1,COUNTIF($T$4:T387,1),"")</f>
        <v/>
      </c>
      <c r="V387" s="26" t="str">
        <f>'施設状況(要更新)'!$E387&amp;'施設状況(要更新)'!$C387</f>
        <v/>
      </c>
      <c r="W387" s="26">
        <f>'施設状況(要更新)'!$F387</f>
        <v>0</v>
      </c>
      <c r="X387" s="27"/>
      <c r="Y387" s="26"/>
    </row>
    <row r="388" spans="1:25">
      <c r="A388" s="45"/>
      <c r="B388" s="46"/>
      <c r="C388" s="46"/>
      <c r="D388" s="46"/>
      <c r="E388" s="46"/>
      <c r="F388" s="47"/>
      <c r="G388" s="47"/>
      <c r="H388" s="47"/>
      <c r="I388" s="47"/>
      <c r="J388" s="46"/>
      <c r="K388" s="47"/>
      <c r="L388" s="47"/>
      <c r="M388" s="47"/>
      <c r="N388" s="47"/>
      <c r="O388" s="47"/>
      <c r="P388" s="47"/>
      <c r="Q388" s="47"/>
      <c r="R388" s="46"/>
      <c r="S388" s="25">
        <f t="shared" si="17"/>
        <v>0</v>
      </c>
      <c r="T388" s="25">
        <f>COUNTIF($V$4:V388,V388)</f>
        <v>199</v>
      </c>
      <c r="U388" s="25" t="str">
        <f>IF(T388=1,COUNTIF($T$4:T388,1),"")</f>
        <v/>
      </c>
      <c r="V388" s="26" t="str">
        <f>'施設状況(要更新)'!$E388&amp;'施設状況(要更新)'!$C388</f>
        <v/>
      </c>
      <c r="W388" s="26">
        <f>'施設状況(要更新)'!$F388</f>
        <v>0</v>
      </c>
      <c r="X388" s="27"/>
      <c r="Y388" s="26"/>
    </row>
    <row r="389" spans="1:25">
      <c r="A389" s="45"/>
      <c r="B389" s="46"/>
      <c r="C389" s="46"/>
      <c r="D389" s="46"/>
      <c r="E389" s="46"/>
      <c r="F389" s="47"/>
      <c r="G389" s="47"/>
      <c r="H389" s="47"/>
      <c r="I389" s="47"/>
      <c r="J389" s="46"/>
      <c r="K389" s="47"/>
      <c r="L389" s="47"/>
      <c r="M389" s="47"/>
      <c r="N389" s="47"/>
      <c r="O389" s="47"/>
      <c r="P389" s="47"/>
      <c r="Q389" s="47"/>
      <c r="R389" s="46"/>
      <c r="S389" s="25">
        <f t="shared" si="17"/>
        <v>0</v>
      </c>
      <c r="T389" s="25">
        <f>COUNTIF($V$4:V389,V389)</f>
        <v>200</v>
      </c>
      <c r="U389" s="25" t="str">
        <f>IF(T389=1,COUNTIF($T$4:T389,1),"")</f>
        <v/>
      </c>
      <c r="V389" s="26" t="str">
        <f>'施設状況(要更新)'!$E389&amp;'施設状況(要更新)'!$C389</f>
        <v/>
      </c>
      <c r="W389" s="26">
        <f>'施設状況(要更新)'!$F389</f>
        <v>0</v>
      </c>
      <c r="X389" s="27"/>
      <c r="Y389" s="26"/>
    </row>
    <row r="390" spans="1:25">
      <c r="A390" s="45"/>
      <c r="B390" s="46"/>
      <c r="C390" s="46"/>
      <c r="D390" s="46"/>
      <c r="E390" s="46"/>
      <c r="F390" s="47"/>
      <c r="G390" s="47"/>
      <c r="H390" s="47"/>
      <c r="I390" s="47"/>
      <c r="J390" s="46"/>
      <c r="K390" s="47"/>
      <c r="L390" s="47"/>
      <c r="M390" s="47"/>
      <c r="N390" s="47"/>
      <c r="O390" s="47"/>
      <c r="P390" s="47"/>
      <c r="Q390" s="47"/>
      <c r="R390" s="46"/>
      <c r="S390" s="25">
        <f t="shared" si="17"/>
        <v>0</v>
      </c>
      <c r="T390" s="25">
        <f>COUNTIF($V$4:V390,V390)</f>
        <v>201</v>
      </c>
      <c r="U390" s="25" t="str">
        <f>IF(T390=1,COUNTIF($T$4:T390,1),"")</f>
        <v/>
      </c>
      <c r="V390" s="26" t="str">
        <f>'施設状況(要更新)'!$E390&amp;'施設状況(要更新)'!$C390</f>
        <v/>
      </c>
      <c r="W390" s="26">
        <f>'施設状況(要更新)'!$F390</f>
        <v>0</v>
      </c>
      <c r="X390" s="27"/>
      <c r="Y390" s="26"/>
    </row>
    <row r="391" spans="1:25">
      <c r="A391" s="45"/>
      <c r="B391" s="46"/>
      <c r="C391" s="46"/>
      <c r="D391" s="46"/>
      <c r="E391" s="46"/>
      <c r="F391" s="47"/>
      <c r="G391" s="47"/>
      <c r="H391" s="47"/>
      <c r="I391" s="47"/>
      <c r="J391" s="46"/>
      <c r="K391" s="47"/>
      <c r="L391" s="47"/>
      <c r="M391" s="47"/>
      <c r="N391" s="47"/>
      <c r="O391" s="47"/>
      <c r="P391" s="47"/>
      <c r="Q391" s="47"/>
      <c r="R391" s="46"/>
      <c r="S391" s="25">
        <f t="shared" si="17"/>
        <v>0</v>
      </c>
      <c r="T391" s="25">
        <f>COUNTIF($V$4:V391,V391)</f>
        <v>202</v>
      </c>
      <c r="U391" s="25" t="str">
        <f>IF(T391=1,COUNTIF($T$4:T391,1),"")</f>
        <v/>
      </c>
      <c r="V391" s="26" t="str">
        <f>'施設状況(要更新)'!$E391&amp;'施設状況(要更新)'!$C391</f>
        <v/>
      </c>
      <c r="W391" s="26">
        <f>'施設状況(要更新)'!$F391</f>
        <v>0</v>
      </c>
      <c r="X391" s="27"/>
      <c r="Y391" s="26"/>
    </row>
    <row r="392" spans="1:25">
      <c r="A392" s="45"/>
      <c r="B392" s="46"/>
      <c r="C392" s="46"/>
      <c r="D392" s="46"/>
      <c r="E392" s="46"/>
      <c r="F392" s="47"/>
      <c r="G392" s="47"/>
      <c r="H392" s="47"/>
      <c r="I392" s="47"/>
      <c r="J392" s="46"/>
      <c r="K392" s="47"/>
      <c r="L392" s="47"/>
      <c r="M392" s="47"/>
      <c r="N392" s="47"/>
      <c r="O392" s="47"/>
      <c r="P392" s="47"/>
      <c r="Q392" s="47"/>
      <c r="R392" s="46"/>
      <c r="S392" s="25">
        <f t="shared" si="17"/>
        <v>0</v>
      </c>
      <c r="T392" s="25">
        <f>COUNTIF($V$4:V392,V392)</f>
        <v>203</v>
      </c>
      <c r="U392" s="25" t="str">
        <f>IF(T392=1,COUNTIF($T$4:T392,1),"")</f>
        <v/>
      </c>
      <c r="V392" s="26" t="str">
        <f>'施設状況(要更新)'!$E392&amp;'施設状況(要更新)'!$C392</f>
        <v/>
      </c>
      <c r="W392" s="26">
        <f>'施設状況(要更新)'!$F392</f>
        <v>0</v>
      </c>
      <c r="X392" s="27"/>
      <c r="Y392" s="26"/>
    </row>
    <row r="393" spans="1:25">
      <c r="A393" s="45"/>
      <c r="B393" s="46"/>
      <c r="C393" s="46"/>
      <c r="D393" s="46"/>
      <c r="E393" s="46"/>
      <c r="F393" s="47"/>
      <c r="G393" s="47"/>
      <c r="H393" s="47"/>
      <c r="I393" s="47"/>
      <c r="J393" s="46"/>
      <c r="K393" s="47"/>
      <c r="L393" s="47"/>
      <c r="M393" s="47"/>
      <c r="N393" s="47"/>
      <c r="O393" s="47"/>
      <c r="P393" s="47"/>
      <c r="Q393" s="47"/>
      <c r="R393" s="46"/>
      <c r="S393" s="25">
        <f t="shared" si="17"/>
        <v>0</v>
      </c>
      <c r="T393" s="25">
        <f>COUNTIF($V$4:V393,V393)</f>
        <v>204</v>
      </c>
      <c r="U393" s="25" t="str">
        <f>IF(T393=1,COUNTIF($T$4:T393,1),"")</f>
        <v/>
      </c>
      <c r="V393" s="26" t="str">
        <f>'施設状況(要更新)'!$E393&amp;'施設状況(要更新)'!$C393</f>
        <v/>
      </c>
      <c r="W393" s="26">
        <f>'施設状況(要更新)'!$F393</f>
        <v>0</v>
      </c>
      <c r="X393" s="27"/>
      <c r="Y393" s="26"/>
    </row>
    <row r="394" spans="1:25">
      <c r="A394" s="45"/>
      <c r="B394" s="46"/>
      <c r="C394" s="46"/>
      <c r="D394" s="46"/>
      <c r="E394" s="46"/>
      <c r="F394" s="47"/>
      <c r="G394" s="47"/>
      <c r="H394" s="47"/>
      <c r="I394" s="47"/>
      <c r="J394" s="46"/>
      <c r="K394" s="47"/>
      <c r="L394" s="47"/>
      <c r="M394" s="47"/>
      <c r="N394" s="47"/>
      <c r="O394" s="47"/>
      <c r="P394" s="47"/>
      <c r="Q394" s="47"/>
      <c r="R394" s="46"/>
      <c r="S394" s="25">
        <f t="shared" si="17"/>
        <v>0</v>
      </c>
      <c r="T394" s="25">
        <f>COUNTIF($V$4:V394,V394)</f>
        <v>205</v>
      </c>
      <c r="U394" s="25" t="str">
        <f>IF(T394=1,COUNTIF($T$4:T394,1),"")</f>
        <v/>
      </c>
      <c r="V394" s="26" t="str">
        <f>'施設状況(要更新)'!$E394&amp;'施設状況(要更新)'!$C394</f>
        <v/>
      </c>
      <c r="W394" s="26">
        <f>'施設状況(要更新)'!$F394</f>
        <v>0</v>
      </c>
      <c r="X394" s="27"/>
      <c r="Y394" s="26"/>
    </row>
    <row r="395" spans="1:25">
      <c r="A395" s="45"/>
      <c r="B395" s="46"/>
      <c r="C395" s="46"/>
      <c r="D395" s="46"/>
      <c r="E395" s="46"/>
      <c r="F395" s="47"/>
      <c r="G395" s="47"/>
      <c r="H395" s="47"/>
      <c r="I395" s="47"/>
      <c r="J395" s="46"/>
      <c r="K395" s="47"/>
      <c r="L395" s="47"/>
      <c r="M395" s="47"/>
      <c r="N395" s="47"/>
      <c r="O395" s="47"/>
      <c r="P395" s="47"/>
      <c r="Q395" s="47"/>
      <c r="R395" s="46"/>
      <c r="S395" s="25">
        <f t="shared" si="17"/>
        <v>0</v>
      </c>
      <c r="T395" s="25">
        <f>COUNTIF($V$4:V395,V395)</f>
        <v>206</v>
      </c>
      <c r="U395" s="25" t="str">
        <f>IF(T395=1,COUNTIF($T$4:T395,1),"")</f>
        <v/>
      </c>
      <c r="V395" s="26" t="str">
        <f>'施設状況(要更新)'!$E395&amp;'施設状況(要更新)'!$C395</f>
        <v/>
      </c>
      <c r="W395" s="26">
        <f>'施設状況(要更新)'!$F395</f>
        <v>0</v>
      </c>
      <c r="X395" s="27"/>
      <c r="Y395" s="26"/>
    </row>
    <row r="396" spans="1:25">
      <c r="A396" s="45"/>
      <c r="B396" s="46"/>
      <c r="C396" s="46"/>
      <c r="D396" s="46"/>
      <c r="E396" s="46"/>
      <c r="F396" s="47"/>
      <c r="G396" s="47"/>
      <c r="H396" s="47"/>
      <c r="I396" s="47"/>
      <c r="J396" s="46"/>
      <c r="K396" s="47"/>
      <c r="L396" s="47"/>
      <c r="M396" s="47"/>
      <c r="N396" s="47"/>
      <c r="O396" s="47"/>
      <c r="P396" s="47"/>
      <c r="Q396" s="47"/>
      <c r="R396" s="46"/>
      <c r="S396" s="25">
        <f t="shared" si="17"/>
        <v>0</v>
      </c>
      <c r="T396" s="25">
        <f>COUNTIF($V$4:V396,V396)</f>
        <v>207</v>
      </c>
      <c r="U396" s="25" t="str">
        <f>IF(T396=1,COUNTIF($T$4:T396,1),"")</f>
        <v/>
      </c>
      <c r="V396" s="26" t="str">
        <f>'施設状況(要更新)'!$E396&amp;'施設状況(要更新)'!$C396</f>
        <v/>
      </c>
      <c r="W396" s="26">
        <f>'施設状況(要更新)'!$F396</f>
        <v>0</v>
      </c>
      <c r="X396" s="27"/>
      <c r="Y396" s="26"/>
    </row>
    <row r="397" spans="1:25">
      <c r="A397" s="45"/>
      <c r="B397" s="46"/>
      <c r="C397" s="46"/>
      <c r="D397" s="46"/>
      <c r="E397" s="46"/>
      <c r="F397" s="48"/>
      <c r="G397" s="47"/>
      <c r="H397" s="47"/>
      <c r="I397" s="47"/>
      <c r="J397" s="46"/>
      <c r="K397" s="47"/>
      <c r="L397" s="47"/>
      <c r="M397" s="47"/>
      <c r="N397" s="47"/>
      <c r="O397" s="47"/>
      <c r="P397" s="47"/>
      <c r="Q397" s="47"/>
      <c r="R397" s="46"/>
      <c r="S397" s="25">
        <f t="shared" si="17"/>
        <v>0</v>
      </c>
      <c r="T397" s="25">
        <f>COUNTIF($V$4:V397,V397)</f>
        <v>208</v>
      </c>
      <c r="U397" s="25" t="str">
        <f>IF(T397=1,COUNTIF($T$4:T397,1),"")</f>
        <v/>
      </c>
      <c r="V397" s="26" t="str">
        <f>'施設状況(要更新)'!$E397&amp;'施設状況(要更新)'!$C397</f>
        <v/>
      </c>
      <c r="W397" s="26">
        <f>'施設状況(要更新)'!$F397</f>
        <v>0</v>
      </c>
      <c r="X397" s="27"/>
      <c r="Y397" s="26"/>
    </row>
    <row r="398" spans="1:25">
      <c r="A398" s="45"/>
      <c r="B398" s="46"/>
      <c r="C398" s="46"/>
      <c r="D398" s="46"/>
      <c r="E398" s="46"/>
      <c r="F398" s="47"/>
      <c r="G398" s="47"/>
      <c r="H398" s="47"/>
      <c r="I398" s="47"/>
      <c r="J398" s="46"/>
      <c r="K398" s="47"/>
      <c r="L398" s="47"/>
      <c r="M398" s="47"/>
      <c r="N398" s="47"/>
      <c r="O398" s="47"/>
      <c r="P398" s="47"/>
      <c r="Q398" s="47"/>
      <c r="R398" s="46"/>
      <c r="S398" s="25">
        <f t="shared" si="17"/>
        <v>0</v>
      </c>
      <c r="T398" s="25">
        <f>COUNTIF($V$4:V398,V398)</f>
        <v>209</v>
      </c>
      <c r="U398" s="25" t="str">
        <f>IF(T398=1,COUNTIF($T$4:T398,1),"")</f>
        <v/>
      </c>
      <c r="V398" s="26" t="str">
        <f>'施設状況(要更新)'!$E398&amp;'施設状況(要更新)'!$C398</f>
        <v/>
      </c>
      <c r="W398" s="26">
        <f>'施設状況(要更新)'!$F398</f>
        <v>0</v>
      </c>
      <c r="X398" s="27"/>
      <c r="Y398" s="26"/>
    </row>
    <row r="399" spans="1:25">
      <c r="A399" s="45"/>
      <c r="B399" s="46"/>
      <c r="C399" s="46"/>
      <c r="D399" s="46"/>
      <c r="E399" s="46"/>
      <c r="F399" s="47"/>
      <c r="G399" s="47"/>
      <c r="H399" s="47"/>
      <c r="I399" s="47"/>
      <c r="J399" s="46"/>
      <c r="K399" s="47"/>
      <c r="L399" s="47"/>
      <c r="M399" s="49"/>
      <c r="N399" s="49"/>
      <c r="O399" s="49"/>
      <c r="P399" s="47"/>
      <c r="Q399" s="47"/>
      <c r="R399" s="46"/>
      <c r="S399" s="25">
        <f t="shared" si="17"/>
        <v>0</v>
      </c>
      <c r="T399" s="25">
        <f>COUNTIF($V$4:V399,V399)</f>
        <v>210</v>
      </c>
      <c r="U399" s="25" t="str">
        <f>IF(T399=1,COUNTIF($T$4:T399,1),"")</f>
        <v/>
      </c>
      <c r="V399" s="26" t="str">
        <f>'施設状況(要更新)'!$E399&amp;'施設状況(要更新)'!$C399</f>
        <v/>
      </c>
      <c r="W399" s="26">
        <f>'施設状況(要更新)'!$F399</f>
        <v>0</v>
      </c>
      <c r="X399" s="27"/>
      <c r="Y399" s="26"/>
    </row>
    <row r="400" spans="1:25">
      <c r="A400" s="45"/>
      <c r="B400" s="46"/>
      <c r="C400" s="46"/>
      <c r="D400" s="46"/>
      <c r="E400" s="46"/>
      <c r="F400" s="47"/>
      <c r="G400" s="47"/>
      <c r="H400" s="47"/>
      <c r="I400" s="47"/>
      <c r="J400" s="46"/>
      <c r="K400" s="47"/>
      <c r="L400" s="47"/>
      <c r="M400" s="49"/>
      <c r="N400" s="49"/>
      <c r="O400" s="49"/>
      <c r="P400" s="47"/>
      <c r="Q400" s="47"/>
      <c r="R400" s="46"/>
      <c r="S400" s="25">
        <f t="shared" si="17"/>
        <v>0</v>
      </c>
      <c r="T400" s="25">
        <f>COUNTIF($V$4:V400,V400)</f>
        <v>211</v>
      </c>
      <c r="U400" s="25" t="str">
        <f>IF(T400=1,COUNTIF($T$4:T400,1),"")</f>
        <v/>
      </c>
      <c r="V400" s="26" t="str">
        <f>'施設状況(要更新)'!$E400&amp;'施設状況(要更新)'!$C400</f>
        <v/>
      </c>
      <c r="W400" s="26">
        <f>'施設状況(要更新)'!$F400</f>
        <v>0</v>
      </c>
      <c r="X400" s="27"/>
      <c r="Y400" s="26"/>
    </row>
    <row r="401" spans="1:25">
      <c r="A401" s="45"/>
      <c r="B401" s="46"/>
      <c r="C401" s="46"/>
      <c r="D401" s="46"/>
      <c r="E401" s="46"/>
      <c r="F401" s="47"/>
      <c r="G401" s="47"/>
      <c r="H401" s="47"/>
      <c r="I401" s="47"/>
      <c r="J401" s="46"/>
      <c r="K401" s="47"/>
      <c r="L401" s="47"/>
      <c r="M401" s="49"/>
      <c r="N401" s="49"/>
      <c r="O401" s="49"/>
      <c r="P401" s="47"/>
      <c r="Q401" s="47"/>
      <c r="R401" s="46"/>
      <c r="S401" s="25">
        <f t="shared" si="17"/>
        <v>0</v>
      </c>
      <c r="T401" s="25">
        <f>COUNTIF($V$4:V401,V401)</f>
        <v>212</v>
      </c>
      <c r="U401" s="25" t="str">
        <f>IF(T401=1,COUNTIF($T$4:T401,1),"")</f>
        <v/>
      </c>
      <c r="V401" s="26" t="str">
        <f>'施設状況(要更新)'!$E401&amp;'施設状況(要更新)'!$C401</f>
        <v/>
      </c>
      <c r="W401" s="26">
        <f>'施設状況(要更新)'!$F401</f>
        <v>0</v>
      </c>
      <c r="X401" s="27"/>
      <c r="Y401" s="26"/>
    </row>
    <row r="402" spans="1:25">
      <c r="A402" s="45"/>
      <c r="B402" s="46"/>
      <c r="C402" s="46"/>
      <c r="D402" s="46"/>
      <c r="E402" s="46"/>
      <c r="F402" s="47"/>
      <c r="G402" s="47"/>
      <c r="H402" s="47"/>
      <c r="I402" s="47"/>
      <c r="J402" s="46"/>
      <c r="K402" s="47"/>
      <c r="L402" s="47"/>
      <c r="M402" s="49"/>
      <c r="N402" s="49"/>
      <c r="O402" s="49"/>
      <c r="P402" s="47"/>
      <c r="Q402" s="47"/>
      <c r="R402" s="46"/>
      <c r="S402" s="25">
        <f t="shared" si="17"/>
        <v>0</v>
      </c>
      <c r="T402" s="25">
        <f>COUNTIF($V$4:V402,V402)</f>
        <v>213</v>
      </c>
      <c r="U402" s="25" t="str">
        <f>IF(T402=1,COUNTIF($T$4:T402,1),"")</f>
        <v/>
      </c>
      <c r="V402" s="26" t="str">
        <f>'施設状況(要更新)'!$E402&amp;'施設状況(要更新)'!$C402</f>
        <v/>
      </c>
      <c r="W402" s="26">
        <f>'施設状況(要更新)'!$F402</f>
        <v>0</v>
      </c>
      <c r="X402" s="27"/>
      <c r="Y402" s="26"/>
    </row>
    <row r="403" spans="1:25">
      <c r="A403" s="45"/>
      <c r="B403" s="46"/>
      <c r="C403" s="46"/>
      <c r="D403" s="46"/>
      <c r="E403" s="46"/>
      <c r="F403" s="47"/>
      <c r="G403" s="47"/>
      <c r="H403" s="47"/>
      <c r="I403" s="47"/>
      <c r="J403" s="46"/>
      <c r="K403" s="47"/>
      <c r="L403" s="47"/>
      <c r="M403" s="49"/>
      <c r="N403" s="49"/>
      <c r="O403" s="49"/>
      <c r="P403" s="47"/>
      <c r="Q403" s="47"/>
      <c r="R403" s="46"/>
      <c r="S403" s="25">
        <f t="shared" si="17"/>
        <v>0</v>
      </c>
      <c r="T403" s="25">
        <f>COUNTIF($V$4:V403,V403)</f>
        <v>214</v>
      </c>
      <c r="U403" s="25" t="str">
        <f>IF(T403=1,COUNTIF($T$4:T403,1),"")</f>
        <v/>
      </c>
      <c r="V403" s="26" t="str">
        <f>'施設状況(要更新)'!$E403&amp;'施設状況(要更新)'!$C403</f>
        <v/>
      </c>
      <c r="W403" s="26">
        <f>'施設状況(要更新)'!$F403</f>
        <v>0</v>
      </c>
      <c r="X403" s="27"/>
      <c r="Y403" s="26"/>
    </row>
    <row r="404" spans="1:25">
      <c r="A404" s="45"/>
      <c r="B404" s="46"/>
      <c r="C404" s="46"/>
      <c r="D404" s="46"/>
      <c r="E404" s="46"/>
      <c r="F404" s="47"/>
      <c r="G404" s="47"/>
      <c r="H404" s="47"/>
      <c r="I404" s="47"/>
      <c r="J404" s="46"/>
      <c r="K404" s="47"/>
      <c r="L404" s="47"/>
      <c r="M404" s="49"/>
      <c r="N404" s="49"/>
      <c r="O404" s="49"/>
      <c r="P404" s="47"/>
      <c r="Q404" s="47"/>
      <c r="R404" s="46"/>
      <c r="S404" s="25">
        <f t="shared" si="17"/>
        <v>0</v>
      </c>
      <c r="T404" s="25">
        <f>COUNTIF($V$4:V404,V404)</f>
        <v>215</v>
      </c>
      <c r="U404" s="25" t="str">
        <f>IF(T404=1,COUNTIF($T$4:T404,1),"")</f>
        <v/>
      </c>
      <c r="V404" s="26" t="str">
        <f>'施設状況(要更新)'!$E404&amp;'施設状況(要更新)'!$C404</f>
        <v/>
      </c>
      <c r="W404" s="26">
        <f>'施設状況(要更新)'!$F404</f>
        <v>0</v>
      </c>
      <c r="X404" s="27"/>
      <c r="Y404" s="26"/>
    </row>
    <row r="405" spans="1:25">
      <c r="A405" s="45"/>
      <c r="B405" s="46"/>
      <c r="C405" s="46"/>
      <c r="D405" s="46"/>
      <c r="E405" s="46"/>
      <c r="F405" s="47"/>
      <c r="G405" s="47"/>
      <c r="H405" s="47"/>
      <c r="I405" s="47"/>
      <c r="J405" s="46"/>
      <c r="K405" s="47"/>
      <c r="L405" s="47"/>
      <c r="M405" s="49"/>
      <c r="N405" s="49"/>
      <c r="O405" s="49"/>
      <c r="P405" s="47"/>
      <c r="Q405" s="47"/>
      <c r="R405" s="46"/>
      <c r="S405" s="25">
        <f t="shared" si="17"/>
        <v>0</v>
      </c>
      <c r="T405" s="25">
        <f>COUNTIF($V$4:V405,V405)</f>
        <v>216</v>
      </c>
      <c r="U405" s="25" t="str">
        <f>IF(T405=1,COUNTIF($T$4:T405,1),"")</f>
        <v/>
      </c>
      <c r="V405" s="26" t="str">
        <f>'施設状況(要更新)'!$E405&amp;'施設状況(要更新)'!$C405</f>
        <v/>
      </c>
      <c r="W405" s="26">
        <f>'施設状況(要更新)'!$F405</f>
        <v>0</v>
      </c>
      <c r="X405" s="27"/>
      <c r="Y405" s="26"/>
    </row>
    <row r="406" spans="1:25">
      <c r="A406" s="45"/>
      <c r="B406" s="46"/>
      <c r="C406" s="46"/>
      <c r="D406" s="46"/>
      <c r="E406" s="46"/>
      <c r="F406" s="47"/>
      <c r="G406" s="47"/>
      <c r="H406" s="47"/>
      <c r="I406" s="47"/>
      <c r="J406" s="46"/>
      <c r="K406" s="47"/>
      <c r="L406" s="47"/>
      <c r="M406" s="49"/>
      <c r="N406" s="49"/>
      <c r="O406" s="49"/>
      <c r="P406" s="47"/>
      <c r="Q406" s="47"/>
      <c r="R406" s="46"/>
      <c r="S406" s="25">
        <f t="shared" si="17"/>
        <v>0</v>
      </c>
      <c r="T406" s="25">
        <f>COUNTIF($V$4:V406,V406)</f>
        <v>217</v>
      </c>
      <c r="U406" s="25" t="str">
        <f>IF(T406=1,COUNTIF($T$4:T406,1),"")</f>
        <v/>
      </c>
      <c r="V406" s="26" t="str">
        <f>'施設状況(要更新)'!$E406&amp;'施設状況(要更新)'!$C406</f>
        <v/>
      </c>
      <c r="W406" s="26">
        <f>'施設状況(要更新)'!$F406</f>
        <v>0</v>
      </c>
      <c r="X406" s="27"/>
      <c r="Y406" s="26"/>
    </row>
    <row r="407" spans="1:25">
      <c r="A407" s="45"/>
      <c r="B407" s="46"/>
      <c r="C407" s="46"/>
      <c r="D407" s="46"/>
      <c r="E407" s="46"/>
      <c r="F407" s="47"/>
      <c r="G407" s="47"/>
      <c r="H407" s="47"/>
      <c r="I407" s="47"/>
      <c r="J407" s="46"/>
      <c r="K407" s="47"/>
      <c r="L407" s="47"/>
      <c r="M407" s="47"/>
      <c r="N407" s="47"/>
      <c r="O407" s="47"/>
      <c r="P407" s="47"/>
      <c r="Q407" s="47"/>
      <c r="R407" s="46"/>
      <c r="S407" s="25">
        <f t="shared" si="17"/>
        <v>0</v>
      </c>
      <c r="T407" s="25">
        <f>COUNTIF($V$4:V407,V407)</f>
        <v>218</v>
      </c>
      <c r="U407" s="25" t="str">
        <f>IF(T407=1,COUNTIF($T$4:T407,1),"")</f>
        <v/>
      </c>
      <c r="V407" s="26" t="str">
        <f>'施設状況(要更新)'!$E407&amp;'施設状況(要更新)'!$C407</f>
        <v/>
      </c>
      <c r="W407" s="26">
        <f>'施設状況(要更新)'!$F407</f>
        <v>0</v>
      </c>
      <c r="X407" s="27"/>
      <c r="Y407" s="26"/>
    </row>
    <row r="408" spans="1:25">
      <c r="A408" s="45"/>
      <c r="B408" s="46"/>
      <c r="C408" s="46"/>
      <c r="D408" s="46"/>
      <c r="E408" s="46"/>
      <c r="F408" s="47"/>
      <c r="G408" s="47"/>
      <c r="H408" s="47"/>
      <c r="I408" s="47"/>
      <c r="J408" s="46"/>
      <c r="K408" s="47"/>
      <c r="L408" s="47"/>
      <c r="M408" s="47"/>
      <c r="N408" s="47"/>
      <c r="O408" s="47"/>
      <c r="P408" s="47"/>
      <c r="Q408" s="47"/>
      <c r="R408" s="46"/>
      <c r="S408" s="25">
        <f t="shared" si="17"/>
        <v>0</v>
      </c>
      <c r="T408" s="25">
        <f>COUNTIF($V$4:V408,V408)</f>
        <v>219</v>
      </c>
      <c r="U408" s="25" t="str">
        <f>IF(T408=1,COUNTIF($T$4:T408,1),"")</f>
        <v/>
      </c>
      <c r="V408" s="26" t="str">
        <f>'施設状況(要更新)'!$E408&amp;'施設状況(要更新)'!$C408</f>
        <v/>
      </c>
      <c r="W408" s="26">
        <f>'施設状況(要更新)'!$F408</f>
        <v>0</v>
      </c>
      <c r="X408" s="27"/>
      <c r="Y408" s="26"/>
    </row>
    <row r="409" spans="1:25">
      <c r="A409" s="45"/>
      <c r="B409" s="46"/>
      <c r="C409" s="46"/>
      <c r="D409" s="46"/>
      <c r="E409" s="46"/>
      <c r="F409" s="47"/>
      <c r="G409" s="47"/>
      <c r="H409" s="47"/>
      <c r="I409" s="47"/>
      <c r="J409" s="46"/>
      <c r="K409" s="47"/>
      <c r="L409" s="47"/>
      <c r="M409" s="47"/>
      <c r="N409" s="47"/>
      <c r="O409" s="47"/>
      <c r="P409" s="47"/>
      <c r="Q409" s="47"/>
      <c r="R409" s="46"/>
      <c r="S409" s="25">
        <f t="shared" si="17"/>
        <v>0</v>
      </c>
      <c r="T409" s="25">
        <f>COUNTIF($V$4:V409,V409)</f>
        <v>220</v>
      </c>
      <c r="U409" s="25" t="str">
        <f>IF(T409=1,COUNTIF($T$4:T409,1),"")</f>
        <v/>
      </c>
      <c r="V409" s="26" t="str">
        <f>'施設状況(要更新)'!$E409&amp;'施設状況(要更新)'!$C409</f>
        <v/>
      </c>
      <c r="W409" s="26">
        <f>'施設状況(要更新)'!$F409</f>
        <v>0</v>
      </c>
      <c r="X409" s="27"/>
      <c r="Y409" s="26"/>
    </row>
    <row r="410" spans="1:25">
      <c r="A410" s="45"/>
      <c r="B410" s="46"/>
      <c r="C410" s="46"/>
      <c r="D410" s="46"/>
      <c r="E410" s="46"/>
      <c r="F410" s="47"/>
      <c r="G410" s="47"/>
      <c r="H410" s="47"/>
      <c r="I410" s="47"/>
      <c r="J410" s="46"/>
      <c r="K410" s="47"/>
      <c r="L410" s="47"/>
      <c r="M410" s="47"/>
      <c r="N410" s="47"/>
      <c r="O410" s="47"/>
      <c r="P410" s="47"/>
      <c r="Q410" s="47"/>
      <c r="R410" s="46"/>
      <c r="S410" s="25">
        <f t="shared" si="17"/>
        <v>0</v>
      </c>
      <c r="T410" s="25">
        <f>COUNTIF($V$4:V410,V410)</f>
        <v>221</v>
      </c>
      <c r="U410" s="25" t="str">
        <f>IF(T410=1,COUNTIF($T$4:T410,1),"")</f>
        <v/>
      </c>
      <c r="V410" s="26" t="str">
        <f>'施設状況(要更新)'!$E410&amp;'施設状況(要更新)'!$C410</f>
        <v/>
      </c>
      <c r="W410" s="26">
        <f>'施設状況(要更新)'!$F410</f>
        <v>0</v>
      </c>
      <c r="X410" s="27"/>
      <c r="Y410" s="26"/>
    </row>
    <row r="411" spans="1:25">
      <c r="A411" s="45"/>
      <c r="B411" s="46"/>
      <c r="C411" s="46"/>
      <c r="D411" s="46"/>
      <c r="E411" s="46"/>
      <c r="F411" s="47"/>
      <c r="G411" s="47"/>
      <c r="H411" s="47"/>
      <c r="I411" s="47"/>
      <c r="J411" s="46"/>
      <c r="K411" s="47"/>
      <c r="L411" s="47"/>
      <c r="M411" s="47"/>
      <c r="N411" s="47"/>
      <c r="O411" s="47"/>
      <c r="P411" s="47"/>
      <c r="Q411" s="47"/>
      <c r="R411" s="46"/>
      <c r="S411" s="25">
        <f t="shared" si="17"/>
        <v>0</v>
      </c>
      <c r="T411" s="25">
        <f>COUNTIF($V$4:V411,V411)</f>
        <v>222</v>
      </c>
      <c r="U411" s="25" t="str">
        <f>IF(T411=1,COUNTIF($T$4:T411,1),"")</f>
        <v/>
      </c>
      <c r="V411" s="26" t="str">
        <f>'施設状況(要更新)'!$E411&amp;'施設状況(要更新)'!$C411</f>
        <v/>
      </c>
      <c r="W411" s="26">
        <f>'施設状況(要更新)'!$F411</f>
        <v>0</v>
      </c>
      <c r="X411" s="27"/>
      <c r="Y411" s="26"/>
    </row>
    <row r="412" spans="1:25">
      <c r="A412" s="45"/>
      <c r="B412" s="46"/>
      <c r="C412" s="46"/>
      <c r="D412" s="46"/>
      <c r="E412" s="46"/>
      <c r="F412" s="47"/>
      <c r="G412" s="47"/>
      <c r="H412" s="47"/>
      <c r="I412" s="47"/>
      <c r="J412" s="46"/>
      <c r="K412" s="47"/>
      <c r="L412" s="47"/>
      <c r="M412" s="47"/>
      <c r="N412" s="47"/>
      <c r="O412" s="47"/>
      <c r="P412" s="47"/>
      <c r="Q412" s="47"/>
      <c r="R412" s="46"/>
      <c r="S412" s="25">
        <f t="shared" si="17"/>
        <v>0</v>
      </c>
      <c r="T412" s="25">
        <f>COUNTIF($V$4:V412,V412)</f>
        <v>223</v>
      </c>
      <c r="U412" s="25" t="str">
        <f>IF(T412=1,COUNTIF($T$4:T412,1),"")</f>
        <v/>
      </c>
      <c r="V412" s="26" t="str">
        <f>'施設状況(要更新)'!$E412&amp;'施設状況(要更新)'!$C412</f>
        <v/>
      </c>
      <c r="W412" s="26">
        <f>'施設状況(要更新)'!$F412</f>
        <v>0</v>
      </c>
      <c r="X412" s="27"/>
      <c r="Y412" s="26"/>
    </row>
    <row r="413" spans="1:25">
      <c r="A413" s="45"/>
      <c r="B413" s="46"/>
      <c r="C413" s="46"/>
      <c r="D413" s="46"/>
      <c r="E413" s="46"/>
      <c r="F413" s="47"/>
      <c r="G413" s="47"/>
      <c r="H413" s="47"/>
      <c r="I413" s="47"/>
      <c r="J413" s="46"/>
      <c r="K413" s="47"/>
      <c r="L413" s="47"/>
      <c r="M413" s="47"/>
      <c r="N413" s="47"/>
      <c r="O413" s="47"/>
      <c r="P413" s="47"/>
      <c r="Q413" s="47"/>
      <c r="R413" s="46"/>
      <c r="S413" s="25">
        <f t="shared" si="17"/>
        <v>0</v>
      </c>
      <c r="T413" s="25">
        <f>COUNTIF($V$4:V413,V413)</f>
        <v>224</v>
      </c>
      <c r="U413" s="25" t="str">
        <f>IF(T413=1,COUNTIF($T$4:T413,1),"")</f>
        <v/>
      </c>
      <c r="V413" s="26" t="str">
        <f>'施設状況(要更新)'!$E413&amp;'施設状況(要更新)'!$C413</f>
        <v/>
      </c>
      <c r="W413" s="26">
        <f>'施設状況(要更新)'!$F413</f>
        <v>0</v>
      </c>
      <c r="X413" s="27"/>
      <c r="Y413" s="26"/>
    </row>
    <row r="414" spans="1:25">
      <c r="A414" s="45"/>
      <c r="B414" s="46"/>
      <c r="C414" s="46"/>
      <c r="D414" s="46"/>
      <c r="E414" s="46"/>
      <c r="F414" s="47"/>
      <c r="G414" s="47"/>
      <c r="H414" s="47"/>
      <c r="I414" s="47"/>
      <c r="J414" s="46"/>
      <c r="K414" s="47"/>
      <c r="L414" s="47"/>
      <c r="M414" s="47"/>
      <c r="N414" s="47"/>
      <c r="O414" s="47"/>
      <c r="P414" s="47"/>
      <c r="Q414" s="47"/>
      <c r="R414" s="46"/>
      <c r="S414" s="25">
        <f t="shared" si="17"/>
        <v>0</v>
      </c>
      <c r="T414" s="25">
        <f>COUNTIF($V$4:V414,V414)</f>
        <v>225</v>
      </c>
      <c r="U414" s="25" t="str">
        <f>IF(T414=1,COUNTIF($T$4:T414,1),"")</f>
        <v/>
      </c>
      <c r="V414" s="26" t="str">
        <f>'施設状況(要更新)'!$E414&amp;'施設状況(要更新)'!$C414</f>
        <v/>
      </c>
      <c r="W414" s="26">
        <f>'施設状況(要更新)'!$F414</f>
        <v>0</v>
      </c>
      <c r="X414" s="27"/>
      <c r="Y414" s="26"/>
    </row>
    <row r="415" spans="1:25">
      <c r="A415" s="45"/>
      <c r="B415" s="46"/>
      <c r="C415" s="46"/>
      <c r="D415" s="46"/>
      <c r="E415" s="46"/>
      <c r="F415" s="47"/>
      <c r="G415" s="47"/>
      <c r="H415" s="47"/>
      <c r="I415" s="47"/>
      <c r="J415" s="46"/>
      <c r="K415" s="47"/>
      <c r="L415" s="47"/>
      <c r="M415" s="47"/>
      <c r="N415" s="47"/>
      <c r="O415" s="47"/>
      <c r="P415" s="47"/>
      <c r="Q415" s="47"/>
      <c r="R415" s="46"/>
      <c r="S415" s="25">
        <f t="shared" si="17"/>
        <v>0</v>
      </c>
      <c r="T415" s="25">
        <f>COUNTIF($V$4:V415,V415)</f>
        <v>226</v>
      </c>
      <c r="U415" s="25" t="str">
        <f>IF(T415=1,COUNTIF($T$4:T415,1),"")</f>
        <v/>
      </c>
      <c r="V415" s="26" t="str">
        <f>'施設状況(要更新)'!$E415&amp;'施設状況(要更新)'!$C415</f>
        <v/>
      </c>
      <c r="W415" s="26">
        <f>'施設状況(要更新)'!$F415</f>
        <v>0</v>
      </c>
      <c r="X415" s="27"/>
      <c r="Y415" s="26"/>
    </row>
    <row r="416" spans="1:25">
      <c r="A416" s="45"/>
      <c r="B416" s="46"/>
      <c r="C416" s="46"/>
      <c r="D416" s="46"/>
      <c r="E416" s="46"/>
      <c r="F416" s="47"/>
      <c r="G416" s="47"/>
      <c r="H416" s="47"/>
      <c r="I416" s="47"/>
      <c r="J416" s="46"/>
      <c r="K416" s="47"/>
      <c r="L416" s="47"/>
      <c r="M416" s="47"/>
      <c r="N416" s="47"/>
      <c r="O416" s="47"/>
      <c r="P416" s="47"/>
      <c r="Q416" s="47"/>
      <c r="R416" s="46"/>
      <c r="S416" s="25">
        <f t="shared" si="17"/>
        <v>0</v>
      </c>
      <c r="T416" s="25">
        <f>COUNTIF($V$4:V416,V416)</f>
        <v>227</v>
      </c>
      <c r="U416" s="25" t="str">
        <f>IF(T416=1,COUNTIF($T$4:T416,1),"")</f>
        <v/>
      </c>
      <c r="V416" s="26" t="str">
        <f>'施設状況(要更新)'!$E416&amp;'施設状況(要更新)'!$C416</f>
        <v/>
      </c>
      <c r="W416" s="26">
        <f>'施設状況(要更新)'!$F416</f>
        <v>0</v>
      </c>
      <c r="X416" s="27"/>
      <c r="Y416" s="26"/>
    </row>
    <row r="417" spans="1:25">
      <c r="A417" s="45"/>
      <c r="B417" s="46"/>
      <c r="C417" s="46"/>
      <c r="D417" s="46"/>
      <c r="E417" s="46"/>
      <c r="F417" s="47"/>
      <c r="G417" s="47"/>
      <c r="H417" s="47"/>
      <c r="I417" s="47"/>
      <c r="J417" s="46"/>
      <c r="K417" s="47"/>
      <c r="L417" s="47"/>
      <c r="M417" s="47"/>
      <c r="N417" s="47"/>
      <c r="O417" s="47"/>
      <c r="P417" s="47"/>
      <c r="Q417" s="47"/>
      <c r="R417" s="46"/>
      <c r="S417" s="25">
        <f t="shared" si="17"/>
        <v>0</v>
      </c>
      <c r="T417" s="25">
        <f>COUNTIF($V$4:V417,V417)</f>
        <v>228</v>
      </c>
      <c r="U417" s="25" t="str">
        <f>IF(T417=1,COUNTIF($T$4:T417,1),"")</f>
        <v/>
      </c>
      <c r="V417" s="26" t="str">
        <f>'施設状況(要更新)'!$E417&amp;'施設状況(要更新)'!$C417</f>
        <v/>
      </c>
      <c r="W417" s="26">
        <f>'施設状況(要更新)'!$F417</f>
        <v>0</v>
      </c>
      <c r="X417" s="27"/>
      <c r="Y417" s="26"/>
    </row>
    <row r="418" spans="1:25">
      <c r="A418" s="45"/>
      <c r="B418" s="46"/>
      <c r="C418" s="46"/>
      <c r="D418" s="46"/>
      <c r="E418" s="46"/>
      <c r="F418" s="47"/>
      <c r="G418" s="47"/>
      <c r="H418" s="47"/>
      <c r="I418" s="47"/>
      <c r="J418" s="46"/>
      <c r="K418" s="47"/>
      <c r="L418" s="47"/>
      <c r="M418" s="47"/>
      <c r="N418" s="47"/>
      <c r="O418" s="47"/>
      <c r="P418" s="47"/>
      <c r="Q418" s="47"/>
      <c r="R418" s="46"/>
      <c r="S418" s="25">
        <f t="shared" si="17"/>
        <v>0</v>
      </c>
      <c r="T418" s="25">
        <f>COUNTIF($V$4:V418,V418)</f>
        <v>229</v>
      </c>
      <c r="U418" s="25" t="str">
        <f>IF(T418=1,COUNTIF($T$4:T418,1),"")</f>
        <v/>
      </c>
      <c r="V418" s="26" t="str">
        <f>'施設状況(要更新)'!$E418&amp;'施設状況(要更新)'!$C418</f>
        <v/>
      </c>
      <c r="W418" s="26">
        <f>'施設状況(要更新)'!$F418</f>
        <v>0</v>
      </c>
      <c r="X418" s="27"/>
      <c r="Y418" s="26"/>
    </row>
    <row r="419" spans="1:25">
      <c r="A419" s="45"/>
      <c r="B419" s="46"/>
      <c r="C419" s="46"/>
      <c r="D419" s="46"/>
      <c r="E419" s="46"/>
      <c r="F419" s="47"/>
      <c r="G419" s="47"/>
      <c r="H419" s="47"/>
      <c r="I419" s="47"/>
      <c r="J419" s="46"/>
      <c r="K419" s="47"/>
      <c r="L419" s="47"/>
      <c r="M419" s="47"/>
      <c r="N419" s="47"/>
      <c r="O419" s="47"/>
      <c r="P419" s="47"/>
      <c r="Q419" s="47"/>
      <c r="R419" s="46"/>
      <c r="S419" s="25">
        <f t="shared" si="17"/>
        <v>0</v>
      </c>
      <c r="T419" s="25">
        <f>COUNTIF($V$4:V419,V419)</f>
        <v>230</v>
      </c>
      <c r="U419" s="25" t="str">
        <f>IF(T419=1,COUNTIF($T$4:T419,1),"")</f>
        <v/>
      </c>
      <c r="V419" s="26" t="str">
        <f>'施設状況(要更新)'!$E419&amp;'施設状況(要更新)'!$C419</f>
        <v/>
      </c>
      <c r="W419" s="26">
        <f>'施設状況(要更新)'!$F419</f>
        <v>0</v>
      </c>
      <c r="X419" s="27"/>
      <c r="Y419" s="26"/>
    </row>
    <row r="420" spans="1:25">
      <c r="A420" s="45"/>
      <c r="B420" s="46"/>
      <c r="C420" s="46"/>
      <c r="D420" s="46"/>
      <c r="E420" s="46"/>
      <c r="F420" s="47"/>
      <c r="G420" s="47"/>
      <c r="H420" s="47"/>
      <c r="I420" s="47"/>
      <c r="J420" s="46"/>
      <c r="K420" s="47"/>
      <c r="L420" s="47"/>
      <c r="M420" s="47"/>
      <c r="N420" s="47"/>
      <c r="O420" s="47"/>
      <c r="P420" s="47"/>
      <c r="Q420" s="47"/>
      <c r="R420" s="46"/>
      <c r="S420" s="25">
        <f t="shared" si="17"/>
        <v>0</v>
      </c>
      <c r="T420" s="25">
        <f>COUNTIF($V$4:V420,V420)</f>
        <v>231</v>
      </c>
      <c r="U420" s="25" t="str">
        <f>IF(T420=1,COUNTIF($T$4:T420,1),"")</f>
        <v/>
      </c>
      <c r="V420" s="26" t="str">
        <f>'施設状況(要更新)'!$E420&amp;'施設状況(要更新)'!$C420</f>
        <v/>
      </c>
      <c r="W420" s="26">
        <f>'施設状況(要更新)'!$F420</f>
        <v>0</v>
      </c>
      <c r="X420" s="27"/>
      <c r="Y420" s="26"/>
    </row>
    <row r="421" spans="1:25">
      <c r="A421" s="45"/>
      <c r="B421" s="46"/>
      <c r="C421" s="46"/>
      <c r="D421" s="46"/>
      <c r="E421" s="46"/>
      <c r="F421" s="47"/>
      <c r="G421" s="47"/>
      <c r="H421" s="47"/>
      <c r="I421" s="47"/>
      <c r="J421" s="46"/>
      <c r="K421" s="47"/>
      <c r="L421" s="47"/>
      <c r="M421" s="47"/>
      <c r="N421" s="47"/>
      <c r="O421" s="47"/>
      <c r="P421" s="47"/>
      <c r="Q421" s="47"/>
      <c r="R421" s="46"/>
      <c r="S421" s="25">
        <f t="shared" si="17"/>
        <v>0</v>
      </c>
      <c r="T421" s="25">
        <f>COUNTIF($V$4:V421,V421)</f>
        <v>232</v>
      </c>
      <c r="U421" s="25" t="str">
        <f>IF(T421=1,COUNTIF($T$4:T421,1),"")</f>
        <v/>
      </c>
      <c r="V421" s="26" t="str">
        <f>'施設状況(要更新)'!$E421&amp;'施設状況(要更新)'!$C421</f>
        <v/>
      </c>
      <c r="W421" s="26">
        <f>'施設状況(要更新)'!$F421</f>
        <v>0</v>
      </c>
      <c r="X421" s="27"/>
      <c r="Y421" s="26"/>
    </row>
    <row r="422" spans="1:25">
      <c r="A422" s="45"/>
      <c r="B422" s="46"/>
      <c r="C422" s="46"/>
      <c r="D422" s="46"/>
      <c r="E422" s="46"/>
      <c r="F422" s="47"/>
      <c r="G422" s="47"/>
      <c r="H422" s="47"/>
      <c r="I422" s="47"/>
      <c r="J422" s="46"/>
      <c r="K422" s="47"/>
      <c r="L422" s="47"/>
      <c r="M422" s="47"/>
      <c r="N422" s="47"/>
      <c r="O422" s="47"/>
      <c r="P422" s="47"/>
      <c r="Q422" s="47"/>
      <c r="R422" s="46"/>
      <c r="S422" s="25">
        <f t="shared" si="17"/>
        <v>0</v>
      </c>
      <c r="T422" s="25">
        <f>COUNTIF($V$4:V422,V422)</f>
        <v>233</v>
      </c>
      <c r="U422" s="25" t="str">
        <f>IF(T422=1,COUNTIF($T$4:T422,1),"")</f>
        <v/>
      </c>
      <c r="V422" s="26" t="str">
        <f>'施設状況(要更新)'!$E422&amp;'施設状況(要更新)'!$C422</f>
        <v/>
      </c>
      <c r="W422" s="26">
        <f>'施設状況(要更新)'!$F422</f>
        <v>0</v>
      </c>
      <c r="X422" s="27"/>
      <c r="Y422" s="26"/>
    </row>
    <row r="423" spans="1:25" s="10" customFormat="1" ht="11.25">
      <c r="A423" s="45"/>
      <c r="B423" s="46"/>
      <c r="C423" s="46"/>
      <c r="D423" s="46"/>
      <c r="E423" s="46"/>
      <c r="F423" s="47"/>
      <c r="G423" s="47"/>
      <c r="H423" s="47"/>
      <c r="I423" s="47"/>
      <c r="J423" s="46"/>
      <c r="K423" s="47"/>
      <c r="L423" s="47"/>
      <c r="M423" s="47"/>
      <c r="N423" s="47"/>
      <c r="O423" s="47"/>
      <c r="P423" s="47"/>
      <c r="Q423" s="47"/>
      <c r="R423" s="46"/>
      <c r="S423" s="25">
        <f t="shared" si="17"/>
        <v>0</v>
      </c>
      <c r="T423" s="25">
        <f>COUNTIF($V$4:V423,V423)</f>
        <v>234</v>
      </c>
      <c r="U423" s="25" t="str">
        <f>IF(T423=1,COUNTIF($T$4:T423,1),"")</f>
        <v/>
      </c>
      <c r="V423" s="26" t="str">
        <f>'施設状況(要更新)'!$E423&amp;'施設状況(要更新)'!$C423</f>
        <v/>
      </c>
      <c r="W423" s="26">
        <f>'施設状況(要更新)'!$F423</f>
        <v>0</v>
      </c>
      <c r="X423" s="27"/>
      <c r="Y423" s="26"/>
    </row>
    <row r="424" spans="1:25" s="10" customFormat="1" ht="11.25">
      <c r="A424" s="45"/>
      <c r="B424" s="50"/>
      <c r="C424" s="46"/>
      <c r="D424" s="46"/>
      <c r="E424" s="46"/>
      <c r="F424" s="47"/>
      <c r="G424" s="47"/>
      <c r="H424" s="47"/>
      <c r="I424" s="47"/>
      <c r="J424" s="46"/>
      <c r="K424" s="47"/>
      <c r="L424" s="47"/>
      <c r="M424" s="47"/>
      <c r="N424" s="47"/>
      <c r="O424" s="47"/>
      <c r="P424" s="47"/>
      <c r="Q424" s="47"/>
      <c r="R424" s="46"/>
      <c r="S424" s="25">
        <f t="shared" si="17"/>
        <v>0</v>
      </c>
      <c r="T424" s="25">
        <f>COUNTIF($V$4:V424,V424)</f>
        <v>235</v>
      </c>
      <c r="U424" s="25" t="str">
        <f>IF(T424=1,COUNTIF($T$4:T424,1),"")</f>
        <v/>
      </c>
      <c r="V424" s="26" t="str">
        <f>'施設状況(要更新)'!$E424&amp;'施設状況(要更新)'!$C424</f>
        <v/>
      </c>
      <c r="W424" s="26">
        <f>'施設状況(要更新)'!$F424</f>
        <v>0</v>
      </c>
      <c r="X424" s="27"/>
      <c r="Y424" s="26"/>
    </row>
    <row r="425" spans="1:25" s="10" customFormat="1" ht="11.25">
      <c r="A425" s="45"/>
      <c r="B425" s="50"/>
      <c r="C425" s="46"/>
      <c r="D425" s="46"/>
      <c r="E425" s="46"/>
      <c r="F425" s="47"/>
      <c r="G425" s="47"/>
      <c r="H425" s="47"/>
      <c r="I425" s="47"/>
      <c r="J425" s="46"/>
      <c r="K425" s="47"/>
      <c r="L425" s="47"/>
      <c r="M425" s="47"/>
      <c r="N425" s="47"/>
      <c r="O425" s="47"/>
      <c r="P425" s="47"/>
      <c r="Q425" s="47"/>
      <c r="R425" s="46"/>
      <c r="S425" s="25">
        <f t="shared" si="17"/>
        <v>0</v>
      </c>
      <c r="T425" s="25">
        <f>COUNTIF($V$4:V425,V425)</f>
        <v>236</v>
      </c>
      <c r="U425" s="25" t="str">
        <f>IF(T425=1,COUNTIF($T$4:T425,1),"")</f>
        <v/>
      </c>
      <c r="V425" s="26" t="str">
        <f>'施設状況(要更新)'!$E425&amp;'施設状況(要更新)'!$C425</f>
        <v/>
      </c>
      <c r="W425" s="26">
        <f>'施設状況(要更新)'!$F425</f>
        <v>0</v>
      </c>
      <c r="X425" s="27"/>
      <c r="Y425" s="26"/>
    </row>
    <row r="426" spans="1:25" s="10" customFormat="1" ht="11.25">
      <c r="A426" s="45"/>
      <c r="B426" s="50"/>
      <c r="C426" s="46"/>
      <c r="D426" s="46"/>
      <c r="E426" s="46"/>
      <c r="F426" s="47"/>
      <c r="G426" s="47"/>
      <c r="H426" s="47"/>
      <c r="I426" s="47"/>
      <c r="J426" s="46"/>
      <c r="K426" s="47"/>
      <c r="L426" s="47"/>
      <c r="M426" s="47"/>
      <c r="N426" s="47"/>
      <c r="O426" s="47"/>
      <c r="P426" s="47"/>
      <c r="Q426" s="47"/>
      <c r="R426" s="46"/>
      <c r="S426" s="25">
        <f t="shared" si="17"/>
        <v>0</v>
      </c>
      <c r="T426" s="25">
        <f>COUNTIF($V$4:V426,V426)</f>
        <v>237</v>
      </c>
      <c r="U426" s="25" t="str">
        <f>IF(T426=1,COUNTIF($T$4:T426,1),"")</f>
        <v/>
      </c>
      <c r="V426" s="26" t="str">
        <f>'施設状況(要更新)'!$E426&amp;'施設状況(要更新)'!$C426</f>
        <v/>
      </c>
      <c r="W426" s="26">
        <f>'施設状況(要更新)'!$F426</f>
        <v>0</v>
      </c>
      <c r="X426" s="27"/>
      <c r="Y426" s="26"/>
    </row>
    <row r="427" spans="1:25" s="10" customFormat="1" ht="11.25">
      <c r="A427" s="45"/>
      <c r="B427" s="50"/>
      <c r="C427" s="46"/>
      <c r="D427" s="46"/>
      <c r="E427" s="46"/>
      <c r="F427" s="47"/>
      <c r="G427" s="47"/>
      <c r="H427" s="47"/>
      <c r="I427" s="47"/>
      <c r="J427" s="46"/>
      <c r="K427" s="47"/>
      <c r="L427" s="47"/>
      <c r="M427" s="47"/>
      <c r="N427" s="47"/>
      <c r="O427" s="47"/>
      <c r="P427" s="47"/>
      <c r="Q427" s="47"/>
      <c r="R427" s="46"/>
      <c r="S427" s="25">
        <f t="shared" si="17"/>
        <v>0</v>
      </c>
      <c r="T427" s="25">
        <f>COUNTIF($V$4:V427,V427)</f>
        <v>238</v>
      </c>
      <c r="U427" s="25" t="str">
        <f>IF(T427=1,COUNTIF($T$4:T427,1),"")</f>
        <v/>
      </c>
      <c r="V427" s="26" t="str">
        <f>'施設状況(要更新)'!$E427&amp;'施設状況(要更新)'!$C427</f>
        <v/>
      </c>
      <c r="W427" s="26">
        <f>'施設状況(要更新)'!$F427</f>
        <v>0</v>
      </c>
      <c r="X427" s="27"/>
      <c r="Y427" s="26"/>
    </row>
    <row r="428" spans="1:25" s="10" customFormat="1" ht="11.25">
      <c r="A428" s="45"/>
      <c r="B428" s="50"/>
      <c r="C428" s="46"/>
      <c r="D428" s="46"/>
      <c r="E428" s="46"/>
      <c r="F428" s="47"/>
      <c r="G428" s="47"/>
      <c r="H428" s="47"/>
      <c r="I428" s="47"/>
      <c r="J428" s="46"/>
      <c r="K428" s="47"/>
      <c r="L428" s="47"/>
      <c r="M428" s="47"/>
      <c r="N428" s="47"/>
      <c r="O428" s="47"/>
      <c r="P428" s="47"/>
      <c r="Q428" s="47"/>
      <c r="R428" s="46"/>
      <c r="S428" s="25">
        <f t="shared" si="17"/>
        <v>0</v>
      </c>
      <c r="T428" s="25">
        <f>COUNTIF($V$4:V428,V428)</f>
        <v>239</v>
      </c>
      <c r="U428" s="25" t="str">
        <f>IF(T428=1,COUNTIF($T$4:T428,1),"")</f>
        <v/>
      </c>
      <c r="V428" s="26" t="str">
        <f>'施設状況(要更新)'!$E428&amp;'施設状況(要更新)'!$C428</f>
        <v/>
      </c>
      <c r="W428" s="26">
        <f>'施設状況(要更新)'!$F428</f>
        <v>0</v>
      </c>
      <c r="X428" s="27"/>
      <c r="Y428" s="26"/>
    </row>
    <row r="429" spans="1:25" s="10" customFormat="1" ht="11.25">
      <c r="A429" s="45"/>
      <c r="B429" s="50"/>
      <c r="C429" s="46"/>
      <c r="D429" s="46"/>
      <c r="E429" s="46"/>
      <c r="F429" s="47"/>
      <c r="G429" s="47"/>
      <c r="H429" s="47"/>
      <c r="I429" s="47"/>
      <c r="J429" s="46"/>
      <c r="K429" s="47"/>
      <c r="L429" s="47"/>
      <c r="M429" s="47"/>
      <c r="N429" s="47"/>
      <c r="O429" s="47"/>
      <c r="P429" s="47"/>
      <c r="Q429" s="47"/>
      <c r="R429" s="46"/>
      <c r="S429" s="25">
        <f t="shared" si="17"/>
        <v>0</v>
      </c>
      <c r="T429" s="25">
        <f>COUNTIF($V$4:V429,V429)</f>
        <v>240</v>
      </c>
      <c r="U429" s="25" t="str">
        <f>IF(T429=1,COUNTIF($T$4:T429,1),"")</f>
        <v/>
      </c>
      <c r="V429" s="26" t="str">
        <f>'施設状況(要更新)'!$E429&amp;'施設状況(要更新)'!$C429</f>
        <v/>
      </c>
      <c r="W429" s="26">
        <f>'施設状況(要更新)'!$F429</f>
        <v>0</v>
      </c>
      <c r="X429" s="27"/>
      <c r="Y429" s="26"/>
    </row>
    <row r="430" spans="1:25" s="10" customFormat="1" ht="11.25">
      <c r="A430" s="45"/>
      <c r="B430" s="50"/>
      <c r="C430" s="46"/>
      <c r="D430" s="46"/>
      <c r="E430" s="46"/>
      <c r="F430" s="47"/>
      <c r="G430" s="47"/>
      <c r="H430" s="47"/>
      <c r="I430" s="47"/>
      <c r="J430" s="47"/>
      <c r="K430" s="47"/>
      <c r="L430" s="47"/>
      <c r="M430" s="47"/>
      <c r="N430" s="47"/>
      <c r="O430" s="47"/>
      <c r="P430" s="47"/>
      <c r="Q430" s="47"/>
      <c r="R430" s="46"/>
      <c r="S430" s="25">
        <f t="shared" si="17"/>
        <v>0</v>
      </c>
      <c r="T430" s="25">
        <f>COUNTIF($V$4:V430,V430)</f>
        <v>241</v>
      </c>
      <c r="U430" s="25" t="str">
        <f>IF(T430=1,COUNTIF($T$4:T430,1),"")</f>
        <v/>
      </c>
      <c r="V430" s="26" t="str">
        <f>'施設状況(要更新)'!$E430&amp;'施設状況(要更新)'!$C430</f>
        <v/>
      </c>
      <c r="W430" s="26">
        <f>'施設状況(要更新)'!$F430</f>
        <v>0</v>
      </c>
      <c r="X430" s="27"/>
      <c r="Y430" s="26"/>
    </row>
    <row r="431" spans="1:25" s="10" customFormat="1" ht="11.25">
      <c r="A431" s="45"/>
      <c r="B431" s="50"/>
      <c r="C431" s="46"/>
      <c r="D431" s="46"/>
      <c r="E431" s="46"/>
      <c r="F431" s="47"/>
      <c r="G431" s="47"/>
      <c r="H431" s="47"/>
      <c r="I431" s="47"/>
      <c r="J431" s="46"/>
      <c r="K431" s="47"/>
      <c r="L431" s="47"/>
      <c r="M431" s="47"/>
      <c r="N431" s="47"/>
      <c r="O431" s="47"/>
      <c r="P431" s="47"/>
      <c r="Q431" s="47"/>
      <c r="R431" s="46"/>
      <c r="S431" s="25">
        <f t="shared" ref="S431:S494" si="18">A431</f>
        <v>0</v>
      </c>
      <c r="T431" s="25">
        <f>COUNTIF($V$4:V431,V431)</f>
        <v>242</v>
      </c>
      <c r="U431" s="25" t="str">
        <f>IF(T431=1,COUNTIF($T$4:T431,1),"")</f>
        <v/>
      </c>
      <c r="V431" s="26" t="str">
        <f>'施設状況(要更新)'!$E431&amp;'施設状況(要更新)'!$C431</f>
        <v/>
      </c>
      <c r="W431" s="26">
        <f>'施設状況(要更新)'!$F431</f>
        <v>0</v>
      </c>
      <c r="X431" s="27"/>
      <c r="Y431" s="26"/>
    </row>
    <row r="432" spans="1:25" s="10" customFormat="1" ht="11.25">
      <c r="A432" s="45"/>
      <c r="B432" s="50"/>
      <c r="C432" s="46"/>
      <c r="D432" s="46"/>
      <c r="E432" s="46"/>
      <c r="F432" s="47"/>
      <c r="G432" s="47"/>
      <c r="H432" s="47"/>
      <c r="I432" s="47"/>
      <c r="J432" s="46"/>
      <c r="K432" s="47"/>
      <c r="L432" s="47"/>
      <c r="M432" s="47"/>
      <c r="N432" s="47"/>
      <c r="O432" s="47"/>
      <c r="P432" s="47"/>
      <c r="Q432" s="47"/>
      <c r="R432" s="46"/>
      <c r="S432" s="25">
        <f t="shared" si="18"/>
        <v>0</v>
      </c>
      <c r="T432" s="25">
        <f>COUNTIF($V$4:V432,V432)</f>
        <v>243</v>
      </c>
      <c r="U432" s="25" t="str">
        <f>IF(T432=1,COUNTIF($T$4:T432,1),"")</f>
        <v/>
      </c>
      <c r="V432" s="26" t="str">
        <f>'施設状況(要更新)'!$E432&amp;'施設状況(要更新)'!$C432</f>
        <v/>
      </c>
      <c r="W432" s="26">
        <f>'施設状況(要更新)'!$F432</f>
        <v>0</v>
      </c>
      <c r="X432" s="27"/>
      <c r="Y432" s="26"/>
    </row>
    <row r="433" spans="1:25" s="10" customFormat="1" ht="11.25">
      <c r="A433" s="45"/>
      <c r="B433" s="50"/>
      <c r="C433" s="46"/>
      <c r="D433" s="46"/>
      <c r="E433" s="46"/>
      <c r="F433" s="47"/>
      <c r="G433" s="47"/>
      <c r="H433" s="47"/>
      <c r="I433" s="47"/>
      <c r="J433" s="46"/>
      <c r="K433" s="47"/>
      <c r="L433" s="47"/>
      <c r="M433" s="47"/>
      <c r="N433" s="47"/>
      <c r="O433" s="47"/>
      <c r="P433" s="47"/>
      <c r="Q433" s="47"/>
      <c r="R433" s="46"/>
      <c r="S433" s="25">
        <f t="shared" si="18"/>
        <v>0</v>
      </c>
      <c r="T433" s="25">
        <f>COUNTIF($V$4:V433,V433)</f>
        <v>244</v>
      </c>
      <c r="U433" s="25" t="str">
        <f>IF(T433=1,COUNTIF($T$4:T433,1),"")</f>
        <v/>
      </c>
      <c r="V433" s="26" t="str">
        <f>'施設状況(要更新)'!$E433&amp;'施設状況(要更新)'!$C433</f>
        <v/>
      </c>
      <c r="W433" s="26">
        <f>'施設状況(要更新)'!$F433</f>
        <v>0</v>
      </c>
      <c r="X433" s="27"/>
      <c r="Y433" s="26"/>
    </row>
    <row r="434" spans="1:25" s="10" customFormat="1" ht="11.25">
      <c r="A434" s="45"/>
      <c r="B434" s="50"/>
      <c r="C434" s="51"/>
      <c r="D434" s="52"/>
      <c r="E434" s="46"/>
      <c r="F434" s="47"/>
      <c r="G434" s="47"/>
      <c r="H434" s="47"/>
      <c r="I434" s="47"/>
      <c r="J434" s="46"/>
      <c r="K434" s="47"/>
      <c r="L434" s="47"/>
      <c r="M434" s="47"/>
      <c r="N434" s="47"/>
      <c r="O434" s="47"/>
      <c r="P434" s="47"/>
      <c r="Q434" s="47"/>
      <c r="R434" s="46"/>
      <c r="S434" s="25">
        <f t="shared" si="18"/>
        <v>0</v>
      </c>
      <c r="T434" s="25">
        <f>COUNTIF($V$4:V434,V434)</f>
        <v>245</v>
      </c>
      <c r="U434" s="25" t="str">
        <f>IF(T434=1,COUNTIF($T$4:T434,1),"")</f>
        <v/>
      </c>
      <c r="V434" s="26" t="str">
        <f>'施設状況(要更新)'!$E434&amp;'施設状況(要更新)'!$C434</f>
        <v/>
      </c>
      <c r="W434" s="26">
        <f>'施設状況(要更新)'!$F434</f>
        <v>0</v>
      </c>
      <c r="X434" s="27"/>
      <c r="Y434" s="26"/>
    </row>
    <row r="435" spans="1:25" s="10" customFormat="1" ht="11.25">
      <c r="A435" s="45"/>
      <c r="B435" s="50"/>
      <c r="C435" s="46"/>
      <c r="D435" s="46"/>
      <c r="E435" s="46"/>
      <c r="F435" s="47"/>
      <c r="G435" s="47"/>
      <c r="H435" s="47"/>
      <c r="I435" s="47"/>
      <c r="J435" s="46"/>
      <c r="K435" s="47"/>
      <c r="L435" s="47"/>
      <c r="M435" s="47"/>
      <c r="N435" s="47"/>
      <c r="O435" s="47"/>
      <c r="P435" s="47"/>
      <c r="Q435" s="47"/>
      <c r="R435" s="46"/>
      <c r="S435" s="25">
        <f t="shared" si="18"/>
        <v>0</v>
      </c>
      <c r="T435" s="25">
        <f>COUNTIF($V$4:V435,V435)</f>
        <v>246</v>
      </c>
      <c r="U435" s="25" t="str">
        <f>IF(T435=1,COUNTIF($T$4:T435,1),"")</f>
        <v/>
      </c>
      <c r="V435" s="26" t="str">
        <f>'施設状況(要更新)'!$E435&amp;'施設状況(要更新)'!$C435</f>
        <v/>
      </c>
      <c r="W435" s="26">
        <f>'施設状況(要更新)'!$F435</f>
        <v>0</v>
      </c>
      <c r="X435" s="27"/>
      <c r="Y435" s="26"/>
    </row>
    <row r="436" spans="1:25" s="10" customFormat="1" ht="11.25">
      <c r="A436" s="45"/>
      <c r="B436" s="50"/>
      <c r="C436" s="46"/>
      <c r="D436" s="46"/>
      <c r="E436" s="46"/>
      <c r="F436" s="47"/>
      <c r="G436" s="47"/>
      <c r="H436" s="47"/>
      <c r="I436" s="47"/>
      <c r="J436" s="46"/>
      <c r="K436" s="47"/>
      <c r="L436" s="47"/>
      <c r="M436" s="47"/>
      <c r="N436" s="47"/>
      <c r="O436" s="47"/>
      <c r="P436" s="47"/>
      <c r="Q436" s="47"/>
      <c r="R436" s="46"/>
      <c r="S436" s="25">
        <f t="shared" si="18"/>
        <v>0</v>
      </c>
      <c r="T436" s="25">
        <f>COUNTIF($V$4:V436,V436)</f>
        <v>247</v>
      </c>
      <c r="U436" s="25" t="str">
        <f>IF(T436=1,COUNTIF($T$4:T436,1),"")</f>
        <v/>
      </c>
      <c r="V436" s="26" t="str">
        <f>'施設状況(要更新)'!$E436&amp;'施設状況(要更新)'!$C436</f>
        <v/>
      </c>
      <c r="W436" s="26">
        <f>'施設状況(要更新)'!$F436</f>
        <v>0</v>
      </c>
      <c r="X436" s="27"/>
      <c r="Y436" s="26"/>
    </row>
    <row r="437" spans="1:25" s="10" customFormat="1" ht="11.25">
      <c r="A437" s="45"/>
      <c r="B437" s="50"/>
      <c r="C437" s="46"/>
      <c r="D437" s="46"/>
      <c r="E437" s="46"/>
      <c r="F437" s="47"/>
      <c r="G437" s="47"/>
      <c r="H437" s="47"/>
      <c r="I437" s="47"/>
      <c r="J437" s="46"/>
      <c r="K437" s="47"/>
      <c r="L437" s="47"/>
      <c r="M437" s="47"/>
      <c r="N437" s="47"/>
      <c r="O437" s="47"/>
      <c r="P437" s="47"/>
      <c r="Q437" s="47"/>
      <c r="R437" s="46"/>
      <c r="S437" s="25">
        <f t="shared" si="18"/>
        <v>0</v>
      </c>
      <c r="T437" s="25">
        <f>COUNTIF($V$4:V437,V437)</f>
        <v>248</v>
      </c>
      <c r="U437" s="25" t="str">
        <f>IF(T437=1,COUNTIF($T$4:T437,1),"")</f>
        <v/>
      </c>
      <c r="V437" s="26" t="str">
        <f>'施設状況(要更新)'!$E437&amp;'施設状況(要更新)'!$C437</f>
        <v/>
      </c>
      <c r="W437" s="26">
        <f>'施設状況(要更新)'!$F437</f>
        <v>0</v>
      </c>
      <c r="X437" s="27"/>
      <c r="Y437" s="26"/>
    </row>
    <row r="438" spans="1:25" s="10" customFormat="1" ht="11.25">
      <c r="A438" s="45"/>
      <c r="B438" s="50"/>
      <c r="C438" s="46"/>
      <c r="D438" s="46"/>
      <c r="E438" s="46"/>
      <c r="F438" s="47"/>
      <c r="G438" s="47"/>
      <c r="H438" s="47"/>
      <c r="I438" s="47"/>
      <c r="J438" s="46"/>
      <c r="K438" s="47"/>
      <c r="L438" s="47"/>
      <c r="M438" s="47"/>
      <c r="N438" s="47"/>
      <c r="O438" s="47"/>
      <c r="P438" s="47"/>
      <c r="Q438" s="47"/>
      <c r="R438" s="46"/>
      <c r="S438" s="25">
        <f t="shared" si="18"/>
        <v>0</v>
      </c>
      <c r="T438" s="25">
        <f>COUNTIF($V$4:V438,V438)</f>
        <v>249</v>
      </c>
      <c r="U438" s="25" t="str">
        <f>IF(T438=1,COUNTIF($T$4:T438,1),"")</f>
        <v/>
      </c>
      <c r="V438" s="26" t="str">
        <f>'施設状況(要更新)'!$E438&amp;'施設状況(要更新)'!$C438</f>
        <v/>
      </c>
      <c r="W438" s="26">
        <f>'施設状況(要更新)'!$F438</f>
        <v>0</v>
      </c>
      <c r="X438" s="27"/>
      <c r="Y438" s="26"/>
    </row>
    <row r="439" spans="1:25" s="10" customFormat="1" ht="11.25">
      <c r="A439" s="45"/>
      <c r="B439" s="50"/>
      <c r="C439" s="46"/>
      <c r="D439" s="46"/>
      <c r="E439" s="46"/>
      <c r="F439" s="47"/>
      <c r="G439" s="47"/>
      <c r="H439" s="47"/>
      <c r="I439" s="47"/>
      <c r="J439" s="46"/>
      <c r="K439" s="47"/>
      <c r="L439" s="47"/>
      <c r="M439" s="47"/>
      <c r="N439" s="47"/>
      <c r="O439" s="47"/>
      <c r="P439" s="47"/>
      <c r="Q439" s="47"/>
      <c r="R439" s="46"/>
      <c r="S439" s="25">
        <f t="shared" si="18"/>
        <v>0</v>
      </c>
      <c r="T439" s="25">
        <f>COUNTIF($V$4:V439,V439)</f>
        <v>250</v>
      </c>
      <c r="U439" s="25" t="str">
        <f>IF(T439=1,COUNTIF($T$4:T439,1),"")</f>
        <v/>
      </c>
      <c r="V439" s="26" t="str">
        <f>'施設状況(要更新)'!$E439&amp;'施設状況(要更新)'!$C439</f>
        <v/>
      </c>
      <c r="W439" s="26">
        <f>'施設状況(要更新)'!$F439</f>
        <v>0</v>
      </c>
      <c r="X439" s="27"/>
      <c r="Y439" s="26"/>
    </row>
    <row r="440" spans="1:25" s="10" customFormat="1" ht="11.25">
      <c r="A440" s="45"/>
      <c r="B440" s="50"/>
      <c r="C440" s="46"/>
      <c r="D440" s="46"/>
      <c r="E440" s="46"/>
      <c r="F440" s="47"/>
      <c r="G440" s="47"/>
      <c r="H440" s="47"/>
      <c r="I440" s="47"/>
      <c r="J440" s="46"/>
      <c r="K440" s="47"/>
      <c r="L440" s="47"/>
      <c r="M440" s="47"/>
      <c r="N440" s="47"/>
      <c r="O440" s="47"/>
      <c r="P440" s="47"/>
      <c r="Q440" s="47"/>
      <c r="R440" s="46"/>
      <c r="S440" s="25">
        <f t="shared" si="18"/>
        <v>0</v>
      </c>
      <c r="T440" s="25">
        <f>COUNTIF($V$4:V440,V440)</f>
        <v>251</v>
      </c>
      <c r="U440" s="25" t="str">
        <f>IF(T440=1,COUNTIF($T$4:T440,1),"")</f>
        <v/>
      </c>
      <c r="V440" s="26" t="str">
        <f>'施設状況(要更新)'!$E440&amp;'施設状況(要更新)'!$C440</f>
        <v/>
      </c>
      <c r="W440" s="26">
        <f>'施設状況(要更新)'!$F440</f>
        <v>0</v>
      </c>
      <c r="X440" s="27"/>
      <c r="Y440" s="26"/>
    </row>
    <row r="441" spans="1:25" s="10" customFormat="1" ht="11.25">
      <c r="A441" s="45"/>
      <c r="B441" s="50"/>
      <c r="C441" s="53"/>
      <c r="D441" s="46"/>
      <c r="E441" s="46"/>
      <c r="F441" s="47"/>
      <c r="G441" s="54"/>
      <c r="H441" s="54"/>
      <c r="I441" s="54"/>
      <c r="J441" s="46"/>
      <c r="K441" s="47"/>
      <c r="L441" s="47"/>
      <c r="M441" s="47"/>
      <c r="N441" s="47"/>
      <c r="O441" s="47"/>
      <c r="P441" s="47"/>
      <c r="Q441" s="47"/>
      <c r="R441" s="46"/>
      <c r="S441" s="25">
        <f t="shared" si="18"/>
        <v>0</v>
      </c>
      <c r="T441" s="25">
        <f>COUNTIF($V$4:V441,V441)</f>
        <v>252</v>
      </c>
      <c r="U441" s="25" t="str">
        <f>IF(T441=1,COUNTIF($T$4:T441,1),"")</f>
        <v/>
      </c>
      <c r="V441" s="26" t="str">
        <f>'施設状況(要更新)'!$E441&amp;'施設状況(要更新)'!$C441</f>
        <v/>
      </c>
      <c r="W441" s="26">
        <f>'施設状況(要更新)'!$F441</f>
        <v>0</v>
      </c>
      <c r="X441" s="27"/>
      <c r="Y441" s="26"/>
    </row>
    <row r="442" spans="1:25" s="10" customFormat="1" ht="11.25">
      <c r="A442" s="45"/>
      <c r="B442" s="50"/>
      <c r="C442" s="46"/>
      <c r="D442" s="46"/>
      <c r="E442" s="46"/>
      <c r="F442" s="47"/>
      <c r="G442" s="47"/>
      <c r="H442" s="47"/>
      <c r="I442" s="47"/>
      <c r="J442" s="46"/>
      <c r="K442" s="47"/>
      <c r="L442" s="47"/>
      <c r="M442" s="47"/>
      <c r="N442" s="47"/>
      <c r="O442" s="47"/>
      <c r="P442" s="47"/>
      <c r="Q442" s="47"/>
      <c r="R442" s="46"/>
      <c r="S442" s="25">
        <f t="shared" si="18"/>
        <v>0</v>
      </c>
      <c r="T442" s="25">
        <f>COUNTIF($V$4:V442,V442)</f>
        <v>253</v>
      </c>
      <c r="U442" s="25" t="str">
        <f>IF(T442=1,COUNTIF($T$4:T442,1),"")</f>
        <v/>
      </c>
      <c r="V442" s="26" t="str">
        <f>'施設状況(要更新)'!$E442&amp;'施設状況(要更新)'!$C442</f>
        <v/>
      </c>
      <c r="W442" s="26">
        <f>'施設状況(要更新)'!$F442</f>
        <v>0</v>
      </c>
      <c r="X442" s="27"/>
      <c r="Y442" s="26"/>
    </row>
    <row r="443" spans="1:25" s="10" customFormat="1" ht="11.25">
      <c r="A443" s="45"/>
      <c r="B443" s="50"/>
      <c r="C443" s="46"/>
      <c r="D443" s="46"/>
      <c r="E443" s="46"/>
      <c r="F443" s="47"/>
      <c r="G443" s="47"/>
      <c r="H443" s="47"/>
      <c r="I443" s="47"/>
      <c r="J443" s="47"/>
      <c r="K443" s="47"/>
      <c r="L443" s="47"/>
      <c r="M443" s="47"/>
      <c r="N443" s="47"/>
      <c r="O443" s="47"/>
      <c r="P443" s="47"/>
      <c r="Q443" s="47"/>
      <c r="R443" s="46"/>
      <c r="S443" s="25">
        <f t="shared" si="18"/>
        <v>0</v>
      </c>
      <c r="T443" s="25">
        <f>COUNTIF($V$4:V443,V443)</f>
        <v>254</v>
      </c>
      <c r="U443" s="25" t="str">
        <f>IF(T443=1,COUNTIF($T$4:T443,1),"")</f>
        <v/>
      </c>
      <c r="V443" s="26" t="str">
        <f>'施設状況(要更新)'!$E443&amp;'施設状況(要更新)'!$C443</f>
        <v/>
      </c>
      <c r="W443" s="26">
        <f>'施設状況(要更新)'!$F443</f>
        <v>0</v>
      </c>
      <c r="X443" s="27"/>
      <c r="Y443" s="26"/>
    </row>
    <row r="444" spans="1:25" s="10" customFormat="1" ht="11.25">
      <c r="A444" s="45"/>
      <c r="B444" s="50"/>
      <c r="C444" s="46"/>
      <c r="D444" s="46"/>
      <c r="E444" s="46"/>
      <c r="F444" s="47"/>
      <c r="G444" s="47"/>
      <c r="H444" s="47"/>
      <c r="I444" s="47"/>
      <c r="J444" s="47"/>
      <c r="K444" s="47"/>
      <c r="L444" s="47"/>
      <c r="M444" s="47"/>
      <c r="N444" s="47"/>
      <c r="O444" s="47"/>
      <c r="P444" s="47"/>
      <c r="Q444" s="47"/>
      <c r="R444" s="46"/>
      <c r="S444" s="25">
        <f t="shared" si="18"/>
        <v>0</v>
      </c>
      <c r="T444" s="25">
        <f>COUNTIF($V$4:V444,V444)</f>
        <v>255</v>
      </c>
      <c r="U444" s="25" t="str">
        <f>IF(T444=1,COUNTIF($T$4:T444,1),"")</f>
        <v/>
      </c>
      <c r="V444" s="26" t="str">
        <f>'施設状況(要更新)'!$E444&amp;'施設状況(要更新)'!$C444</f>
        <v/>
      </c>
      <c r="W444" s="26">
        <f>'施設状況(要更新)'!$F444</f>
        <v>0</v>
      </c>
      <c r="X444" s="27"/>
      <c r="Y444" s="26"/>
    </row>
    <row r="445" spans="1:25" s="10" customFormat="1" ht="11.25">
      <c r="A445" s="45"/>
      <c r="B445" s="50"/>
      <c r="C445" s="46"/>
      <c r="D445" s="46"/>
      <c r="E445" s="46"/>
      <c r="F445" s="47"/>
      <c r="G445" s="47"/>
      <c r="H445" s="47"/>
      <c r="I445" s="47"/>
      <c r="J445" s="47"/>
      <c r="K445" s="47"/>
      <c r="L445" s="47"/>
      <c r="M445" s="47"/>
      <c r="N445" s="47"/>
      <c r="O445" s="47"/>
      <c r="P445" s="47"/>
      <c r="Q445" s="47"/>
      <c r="R445" s="46"/>
      <c r="S445" s="25">
        <f t="shared" si="18"/>
        <v>0</v>
      </c>
      <c r="T445" s="25">
        <f>COUNTIF($V$4:V445,V445)</f>
        <v>256</v>
      </c>
      <c r="U445" s="25" t="str">
        <f>IF(T445=1,COUNTIF($T$4:T445,1),"")</f>
        <v/>
      </c>
      <c r="V445" s="26" t="str">
        <f>'施設状況(要更新)'!$E445&amp;'施設状況(要更新)'!$C445</f>
        <v/>
      </c>
      <c r="W445" s="26">
        <f>'施設状況(要更新)'!$F445</f>
        <v>0</v>
      </c>
      <c r="X445" s="27"/>
      <c r="Y445" s="26"/>
    </row>
    <row r="446" spans="1:25" s="10" customFormat="1" ht="11.25">
      <c r="A446" s="45"/>
      <c r="B446" s="50"/>
      <c r="C446" s="46"/>
      <c r="D446" s="46"/>
      <c r="E446" s="46"/>
      <c r="F446" s="47"/>
      <c r="G446" s="47"/>
      <c r="H446" s="47"/>
      <c r="I446" s="47"/>
      <c r="J446" s="47"/>
      <c r="K446" s="47"/>
      <c r="L446" s="47"/>
      <c r="M446" s="47"/>
      <c r="N446" s="47"/>
      <c r="O446" s="47"/>
      <c r="P446" s="47"/>
      <c r="Q446" s="47"/>
      <c r="R446" s="46"/>
      <c r="S446" s="25">
        <f t="shared" si="18"/>
        <v>0</v>
      </c>
      <c r="T446" s="25">
        <f>COUNTIF($V$4:V446,V446)</f>
        <v>257</v>
      </c>
      <c r="U446" s="25" t="str">
        <f>IF(T446=1,COUNTIF($T$4:T446,1),"")</f>
        <v/>
      </c>
      <c r="V446" s="26" t="str">
        <f>'施設状況(要更新)'!$E446&amp;'施設状況(要更新)'!$C446</f>
        <v/>
      </c>
      <c r="W446" s="26">
        <f>'施設状況(要更新)'!$F446</f>
        <v>0</v>
      </c>
      <c r="X446" s="27"/>
      <c r="Y446" s="26"/>
    </row>
    <row r="447" spans="1:25" s="10" customFormat="1" ht="11.25">
      <c r="A447" s="45"/>
      <c r="B447" s="50"/>
      <c r="C447" s="46"/>
      <c r="D447" s="46"/>
      <c r="E447" s="46"/>
      <c r="F447" s="47"/>
      <c r="G447" s="47"/>
      <c r="H447" s="47"/>
      <c r="I447" s="47"/>
      <c r="J447" s="47"/>
      <c r="K447" s="47"/>
      <c r="L447" s="47"/>
      <c r="M447" s="47"/>
      <c r="N447" s="47"/>
      <c r="O447" s="47"/>
      <c r="P447" s="47"/>
      <c r="Q447" s="47"/>
      <c r="R447" s="46"/>
      <c r="S447" s="25">
        <f t="shared" si="18"/>
        <v>0</v>
      </c>
      <c r="T447" s="25">
        <f>COUNTIF($V$4:V447,V447)</f>
        <v>258</v>
      </c>
      <c r="U447" s="25" t="str">
        <f>IF(T447=1,COUNTIF($T$4:T447,1),"")</f>
        <v/>
      </c>
      <c r="V447" s="26" t="str">
        <f>'施設状況(要更新)'!$E447&amp;'施設状況(要更新)'!$C447</f>
        <v/>
      </c>
      <c r="W447" s="26">
        <f>'施設状況(要更新)'!$F447</f>
        <v>0</v>
      </c>
      <c r="X447" s="27"/>
      <c r="Y447" s="26"/>
    </row>
    <row r="448" spans="1:25" s="10" customFormat="1" ht="11.25">
      <c r="A448" s="45"/>
      <c r="B448" s="50"/>
      <c r="C448" s="46"/>
      <c r="D448" s="46"/>
      <c r="E448" s="46"/>
      <c r="F448" s="47"/>
      <c r="G448" s="47"/>
      <c r="H448" s="47"/>
      <c r="I448" s="47"/>
      <c r="J448" s="47"/>
      <c r="K448" s="47"/>
      <c r="L448" s="47"/>
      <c r="M448" s="47"/>
      <c r="N448" s="47"/>
      <c r="O448" s="47"/>
      <c r="P448" s="47"/>
      <c r="Q448" s="47"/>
      <c r="R448" s="46"/>
      <c r="S448" s="25">
        <f t="shared" si="18"/>
        <v>0</v>
      </c>
      <c r="T448" s="25">
        <f>COUNTIF($V$4:V448,V448)</f>
        <v>259</v>
      </c>
      <c r="U448" s="25" t="str">
        <f>IF(T448=1,COUNTIF($T$4:T448,1),"")</f>
        <v/>
      </c>
      <c r="V448" s="26" t="str">
        <f>'施設状況(要更新)'!$E448&amp;'施設状況(要更新)'!$C448</f>
        <v/>
      </c>
      <c r="W448" s="26">
        <f>'施設状況(要更新)'!$F448</f>
        <v>0</v>
      </c>
      <c r="X448" s="27"/>
      <c r="Y448" s="26"/>
    </row>
    <row r="449" spans="1:25" s="10" customFormat="1" ht="11.25">
      <c r="A449" s="45"/>
      <c r="B449" s="50"/>
      <c r="C449" s="46"/>
      <c r="D449" s="46"/>
      <c r="E449" s="46"/>
      <c r="F449" s="47"/>
      <c r="G449" s="47"/>
      <c r="H449" s="47"/>
      <c r="I449" s="47"/>
      <c r="J449" s="47"/>
      <c r="K449" s="47"/>
      <c r="L449" s="47"/>
      <c r="M449" s="47"/>
      <c r="N449" s="47"/>
      <c r="O449" s="47"/>
      <c r="P449" s="47"/>
      <c r="Q449" s="47"/>
      <c r="R449" s="46"/>
      <c r="S449" s="25">
        <f t="shared" si="18"/>
        <v>0</v>
      </c>
      <c r="T449" s="25">
        <f>COUNTIF($V$4:V449,V449)</f>
        <v>260</v>
      </c>
      <c r="U449" s="25" t="str">
        <f>IF(T449=1,COUNTIF($T$4:T449,1),"")</f>
        <v/>
      </c>
      <c r="V449" s="26" t="str">
        <f>'施設状況(要更新)'!$E449&amp;'施設状況(要更新)'!$C449</f>
        <v/>
      </c>
      <c r="W449" s="26">
        <f>'施設状況(要更新)'!$F449</f>
        <v>0</v>
      </c>
      <c r="X449" s="27"/>
      <c r="Y449" s="26"/>
    </row>
    <row r="450" spans="1:25" s="10" customFormat="1" ht="11.25">
      <c r="A450" s="45"/>
      <c r="B450" s="50"/>
      <c r="C450" s="46"/>
      <c r="D450" s="46"/>
      <c r="E450" s="46"/>
      <c r="F450" s="47"/>
      <c r="G450" s="47"/>
      <c r="H450" s="47"/>
      <c r="I450" s="47"/>
      <c r="J450" s="47"/>
      <c r="K450" s="47"/>
      <c r="L450" s="47"/>
      <c r="M450" s="47"/>
      <c r="N450" s="47"/>
      <c r="O450" s="47"/>
      <c r="P450" s="47"/>
      <c r="Q450" s="47"/>
      <c r="R450" s="46"/>
      <c r="S450" s="25">
        <f t="shared" si="18"/>
        <v>0</v>
      </c>
      <c r="T450" s="25">
        <f>COUNTIF($V$4:V450,V450)</f>
        <v>261</v>
      </c>
      <c r="U450" s="25" t="str">
        <f>IF(T450=1,COUNTIF($T$4:T450,1),"")</f>
        <v/>
      </c>
      <c r="V450" s="26" t="str">
        <f>'施設状況(要更新)'!$E450&amp;'施設状況(要更新)'!$C450</f>
        <v/>
      </c>
      <c r="W450" s="26">
        <f>'施設状況(要更新)'!$F450</f>
        <v>0</v>
      </c>
      <c r="X450" s="27"/>
      <c r="Y450" s="26"/>
    </row>
    <row r="451" spans="1:25" s="10" customFormat="1" ht="11.25">
      <c r="A451" s="45"/>
      <c r="B451" s="50"/>
      <c r="C451" s="46"/>
      <c r="D451" s="46"/>
      <c r="E451" s="46"/>
      <c r="F451" s="47"/>
      <c r="G451" s="47"/>
      <c r="H451" s="47"/>
      <c r="I451" s="47"/>
      <c r="J451" s="47"/>
      <c r="K451" s="47"/>
      <c r="L451" s="47"/>
      <c r="M451" s="47"/>
      <c r="N451" s="47"/>
      <c r="O451" s="47"/>
      <c r="P451" s="47"/>
      <c r="Q451" s="47"/>
      <c r="R451" s="46"/>
      <c r="S451" s="25">
        <f t="shared" si="18"/>
        <v>0</v>
      </c>
      <c r="T451" s="25">
        <f>COUNTIF($V$4:V451,V451)</f>
        <v>262</v>
      </c>
      <c r="U451" s="25" t="str">
        <f>IF(T451=1,COUNTIF($T$4:T451,1),"")</f>
        <v/>
      </c>
      <c r="V451" s="26" t="str">
        <f>'施設状況(要更新)'!$E451&amp;'施設状況(要更新)'!$C451</f>
        <v/>
      </c>
      <c r="W451" s="26">
        <f>'施設状況(要更新)'!$F451</f>
        <v>0</v>
      </c>
      <c r="X451" s="27"/>
      <c r="Y451" s="26"/>
    </row>
    <row r="452" spans="1:25" s="10" customFormat="1" ht="11.25">
      <c r="A452" s="45"/>
      <c r="B452" s="50"/>
      <c r="C452" s="46"/>
      <c r="D452" s="46"/>
      <c r="E452" s="46"/>
      <c r="F452" s="47"/>
      <c r="G452" s="47"/>
      <c r="H452" s="47"/>
      <c r="I452" s="47"/>
      <c r="J452" s="47"/>
      <c r="K452" s="47"/>
      <c r="L452" s="47"/>
      <c r="M452" s="47"/>
      <c r="N452" s="47"/>
      <c r="O452" s="47"/>
      <c r="P452" s="47"/>
      <c r="Q452" s="47"/>
      <c r="R452" s="46"/>
      <c r="S452" s="25">
        <f t="shared" si="18"/>
        <v>0</v>
      </c>
      <c r="T452" s="25">
        <f>COUNTIF($V$4:V452,V452)</f>
        <v>263</v>
      </c>
      <c r="U452" s="25" t="str">
        <f>IF(T452=1,COUNTIF($T$4:T452,1),"")</f>
        <v/>
      </c>
      <c r="V452" s="26" t="str">
        <f>'施設状況(要更新)'!$E452&amp;'施設状況(要更新)'!$C452</f>
        <v/>
      </c>
      <c r="W452" s="26">
        <f>'施設状況(要更新)'!$F452</f>
        <v>0</v>
      </c>
      <c r="X452" s="27"/>
      <c r="Y452" s="26"/>
    </row>
    <row r="453" spans="1:25" s="10" customFormat="1" ht="11.25">
      <c r="A453" s="45"/>
      <c r="B453" s="50"/>
      <c r="C453" s="46"/>
      <c r="D453" s="46"/>
      <c r="E453" s="46"/>
      <c r="F453" s="47"/>
      <c r="G453" s="47"/>
      <c r="H453" s="47"/>
      <c r="I453" s="47"/>
      <c r="J453" s="47"/>
      <c r="K453" s="47"/>
      <c r="L453" s="47"/>
      <c r="M453" s="47"/>
      <c r="N453" s="47"/>
      <c r="O453" s="47"/>
      <c r="P453" s="47"/>
      <c r="Q453" s="47"/>
      <c r="R453" s="46"/>
      <c r="S453" s="25">
        <f t="shared" si="18"/>
        <v>0</v>
      </c>
      <c r="T453" s="25">
        <f>COUNTIF($V$4:V453,V453)</f>
        <v>264</v>
      </c>
      <c r="U453" s="25" t="str">
        <f>IF(T453=1,COUNTIF($T$4:T453,1),"")</f>
        <v/>
      </c>
      <c r="V453" s="26" t="str">
        <f>'施設状況(要更新)'!$E453&amp;'施設状況(要更新)'!$C453</f>
        <v/>
      </c>
      <c r="W453" s="26">
        <f>'施設状況(要更新)'!$F453</f>
        <v>0</v>
      </c>
      <c r="X453" s="27"/>
      <c r="Y453" s="26"/>
    </row>
    <row r="454" spans="1:25" s="10" customFormat="1" ht="11.25">
      <c r="A454" s="45"/>
      <c r="B454" s="50"/>
      <c r="C454" s="46"/>
      <c r="D454" s="46"/>
      <c r="E454" s="46"/>
      <c r="F454" s="47"/>
      <c r="G454" s="47"/>
      <c r="H454" s="47"/>
      <c r="I454" s="47"/>
      <c r="J454" s="47"/>
      <c r="K454" s="47"/>
      <c r="L454" s="47"/>
      <c r="M454" s="47"/>
      <c r="N454" s="47"/>
      <c r="O454" s="47"/>
      <c r="P454" s="47"/>
      <c r="Q454" s="47"/>
      <c r="R454" s="46"/>
      <c r="S454" s="25">
        <f t="shared" si="18"/>
        <v>0</v>
      </c>
      <c r="T454" s="25">
        <f>COUNTIF($V$4:V454,V454)</f>
        <v>265</v>
      </c>
      <c r="U454" s="25" t="str">
        <f>IF(T454=1,COUNTIF($T$4:T454,1),"")</f>
        <v/>
      </c>
      <c r="V454" s="26" t="str">
        <f>'施設状況(要更新)'!$E454&amp;'施設状況(要更新)'!$C454</f>
        <v/>
      </c>
      <c r="W454" s="26">
        <f>'施設状況(要更新)'!$F454</f>
        <v>0</v>
      </c>
      <c r="X454" s="27"/>
      <c r="Y454" s="26"/>
    </row>
    <row r="455" spans="1:25" s="10" customFormat="1" ht="11.25">
      <c r="A455" s="45"/>
      <c r="B455" s="50"/>
      <c r="C455" s="46"/>
      <c r="D455" s="46"/>
      <c r="E455" s="46"/>
      <c r="F455" s="47"/>
      <c r="G455" s="47"/>
      <c r="H455" s="47"/>
      <c r="I455" s="47"/>
      <c r="J455" s="47"/>
      <c r="K455" s="47"/>
      <c r="L455" s="47"/>
      <c r="M455" s="47"/>
      <c r="N455" s="47"/>
      <c r="O455" s="47"/>
      <c r="P455" s="47"/>
      <c r="Q455" s="47"/>
      <c r="R455" s="46"/>
      <c r="S455" s="25">
        <f t="shared" si="18"/>
        <v>0</v>
      </c>
      <c r="T455" s="25">
        <f>COUNTIF($V$4:V455,V455)</f>
        <v>266</v>
      </c>
      <c r="U455" s="25" t="str">
        <f>IF(T455=1,COUNTIF($T$4:T455,1),"")</f>
        <v/>
      </c>
      <c r="V455" s="26" t="str">
        <f>'施設状況(要更新)'!$E455&amp;'施設状況(要更新)'!$C455</f>
        <v/>
      </c>
      <c r="W455" s="26">
        <f>'施設状況(要更新)'!$F455</f>
        <v>0</v>
      </c>
      <c r="X455" s="27"/>
      <c r="Y455" s="26"/>
    </row>
    <row r="456" spans="1:25" s="10" customFormat="1" ht="11.25">
      <c r="A456" s="45"/>
      <c r="B456" s="50"/>
      <c r="C456" s="46"/>
      <c r="D456" s="46"/>
      <c r="E456" s="46"/>
      <c r="F456" s="47"/>
      <c r="G456" s="47"/>
      <c r="H456" s="47"/>
      <c r="I456" s="47"/>
      <c r="J456" s="47"/>
      <c r="K456" s="47"/>
      <c r="L456" s="47"/>
      <c r="M456" s="47"/>
      <c r="N456" s="47"/>
      <c r="O456" s="47"/>
      <c r="P456" s="47"/>
      <c r="Q456" s="47"/>
      <c r="R456" s="46"/>
      <c r="S456" s="25">
        <f t="shared" si="18"/>
        <v>0</v>
      </c>
      <c r="T456" s="25">
        <f>COUNTIF($V$4:V456,V456)</f>
        <v>267</v>
      </c>
      <c r="U456" s="25" t="str">
        <f>IF(T456=1,COUNTIF($T$4:T456,1),"")</f>
        <v/>
      </c>
      <c r="V456" s="26" t="str">
        <f>'施設状況(要更新)'!$E456&amp;'施設状況(要更新)'!$C456</f>
        <v/>
      </c>
      <c r="W456" s="26">
        <f>'施設状況(要更新)'!$F456</f>
        <v>0</v>
      </c>
      <c r="X456" s="27"/>
      <c r="Y456" s="26"/>
    </row>
    <row r="457" spans="1:25" s="10" customFormat="1" ht="11.25">
      <c r="A457" s="45"/>
      <c r="B457" s="50"/>
      <c r="C457" s="46"/>
      <c r="D457" s="46"/>
      <c r="E457" s="46"/>
      <c r="F457" s="47"/>
      <c r="G457" s="47"/>
      <c r="H457" s="47"/>
      <c r="I457" s="47"/>
      <c r="J457" s="47"/>
      <c r="K457" s="47"/>
      <c r="L457" s="47"/>
      <c r="M457" s="47"/>
      <c r="N457" s="47"/>
      <c r="O457" s="47"/>
      <c r="P457" s="47"/>
      <c r="Q457" s="47"/>
      <c r="R457" s="46"/>
      <c r="S457" s="25">
        <f t="shared" si="18"/>
        <v>0</v>
      </c>
      <c r="T457" s="25">
        <f>COUNTIF($V$4:V457,V457)</f>
        <v>268</v>
      </c>
      <c r="U457" s="25" t="str">
        <f>IF(T457=1,COUNTIF($T$4:T457,1),"")</f>
        <v/>
      </c>
      <c r="V457" s="26" t="str">
        <f>'施設状況(要更新)'!$E457&amp;'施設状況(要更新)'!$C457</f>
        <v/>
      </c>
      <c r="W457" s="26">
        <f>'施設状況(要更新)'!$F457</f>
        <v>0</v>
      </c>
      <c r="X457" s="27"/>
      <c r="Y457" s="26"/>
    </row>
    <row r="458" spans="1:25" s="10" customFormat="1" ht="11.25">
      <c r="A458" s="45"/>
      <c r="B458" s="50"/>
      <c r="C458" s="46"/>
      <c r="D458" s="46"/>
      <c r="E458" s="46"/>
      <c r="F458" s="47"/>
      <c r="G458" s="47"/>
      <c r="H458" s="47"/>
      <c r="I458" s="47"/>
      <c r="J458" s="47"/>
      <c r="K458" s="47"/>
      <c r="L458" s="47"/>
      <c r="M458" s="47"/>
      <c r="N458" s="47"/>
      <c r="O458" s="47"/>
      <c r="P458" s="47"/>
      <c r="Q458" s="47"/>
      <c r="R458" s="46"/>
      <c r="S458" s="25">
        <f t="shared" si="18"/>
        <v>0</v>
      </c>
      <c r="T458" s="25">
        <f>COUNTIF($V$4:V458,V458)</f>
        <v>269</v>
      </c>
      <c r="U458" s="25" t="str">
        <f>IF(T458=1,COUNTIF($T$4:T458,1),"")</f>
        <v/>
      </c>
      <c r="V458" s="26" t="str">
        <f>'施設状況(要更新)'!$E458&amp;'施設状況(要更新)'!$C458</f>
        <v/>
      </c>
      <c r="W458" s="26">
        <f>'施設状況(要更新)'!$F458</f>
        <v>0</v>
      </c>
      <c r="X458" s="27"/>
      <c r="Y458" s="26"/>
    </row>
    <row r="459" spans="1:25" s="10" customFormat="1" ht="11.25">
      <c r="A459" s="45"/>
      <c r="B459" s="50"/>
      <c r="C459" s="46"/>
      <c r="D459" s="46"/>
      <c r="E459" s="46"/>
      <c r="F459" s="47"/>
      <c r="G459" s="47"/>
      <c r="H459" s="47"/>
      <c r="I459" s="47"/>
      <c r="J459" s="47"/>
      <c r="K459" s="47"/>
      <c r="L459" s="47"/>
      <c r="M459" s="47"/>
      <c r="N459" s="47"/>
      <c r="O459" s="47"/>
      <c r="P459" s="47"/>
      <c r="Q459" s="47"/>
      <c r="R459" s="46"/>
      <c r="S459" s="25">
        <f t="shared" si="18"/>
        <v>0</v>
      </c>
      <c r="T459" s="25">
        <f>COUNTIF($V$4:V459,V459)</f>
        <v>270</v>
      </c>
      <c r="U459" s="25" t="str">
        <f>IF(T459=1,COUNTIF($T$4:T459,1),"")</f>
        <v/>
      </c>
      <c r="V459" s="26" t="str">
        <f>'施設状況(要更新)'!$E459&amp;'施設状況(要更新)'!$C459</f>
        <v/>
      </c>
      <c r="W459" s="26">
        <f>'施設状況(要更新)'!$F459</f>
        <v>0</v>
      </c>
      <c r="X459" s="27"/>
      <c r="Y459" s="26"/>
    </row>
    <row r="460" spans="1:25" s="10" customFormat="1" ht="11.25">
      <c r="A460" s="45"/>
      <c r="B460" s="50"/>
      <c r="C460" s="46"/>
      <c r="D460" s="46"/>
      <c r="E460" s="46"/>
      <c r="F460" s="47"/>
      <c r="G460" s="47"/>
      <c r="H460" s="47"/>
      <c r="I460" s="47"/>
      <c r="J460" s="47"/>
      <c r="K460" s="47"/>
      <c r="L460" s="47"/>
      <c r="M460" s="47"/>
      <c r="N460" s="47"/>
      <c r="O460" s="47"/>
      <c r="P460" s="47"/>
      <c r="Q460" s="47"/>
      <c r="R460" s="46"/>
      <c r="S460" s="25">
        <f t="shared" si="18"/>
        <v>0</v>
      </c>
      <c r="T460" s="25">
        <f>COUNTIF($V$4:V460,V460)</f>
        <v>271</v>
      </c>
      <c r="U460" s="25" t="str">
        <f>IF(T460=1,COUNTIF($T$4:T460,1),"")</f>
        <v/>
      </c>
      <c r="V460" s="26" t="str">
        <f>'施設状況(要更新)'!$E460&amp;'施設状況(要更新)'!$C460</f>
        <v/>
      </c>
      <c r="W460" s="26">
        <f>'施設状況(要更新)'!$F460</f>
        <v>0</v>
      </c>
      <c r="X460" s="27"/>
      <c r="Y460" s="26"/>
    </row>
    <row r="461" spans="1:25" s="10" customFormat="1" ht="11.25">
      <c r="A461" s="45"/>
      <c r="B461" s="50"/>
      <c r="C461" s="46"/>
      <c r="D461" s="46"/>
      <c r="E461" s="46"/>
      <c r="F461" s="47"/>
      <c r="G461" s="47"/>
      <c r="H461" s="47"/>
      <c r="I461" s="47"/>
      <c r="J461" s="49"/>
      <c r="K461" s="47"/>
      <c r="L461" s="47"/>
      <c r="M461" s="47"/>
      <c r="N461" s="49"/>
      <c r="O461" s="49"/>
      <c r="P461" s="47"/>
      <c r="Q461" s="47"/>
      <c r="R461" s="34"/>
      <c r="S461" s="25">
        <f t="shared" si="18"/>
        <v>0</v>
      </c>
      <c r="T461" s="25">
        <f>COUNTIF($V$4:V461,V461)</f>
        <v>272</v>
      </c>
      <c r="U461" s="25" t="str">
        <f>IF(T461=1,COUNTIF($T$4:T461,1),"")</f>
        <v/>
      </c>
      <c r="V461" s="26" t="str">
        <f>'施設状況(要更新)'!$E461&amp;'施設状況(要更新)'!$C461</f>
        <v/>
      </c>
      <c r="W461" s="26">
        <f>'施設状況(要更新)'!$F461</f>
        <v>0</v>
      </c>
      <c r="X461" s="27"/>
      <c r="Y461" s="26"/>
    </row>
    <row r="462" spans="1:25" s="10" customFormat="1" ht="11.25">
      <c r="A462" s="45"/>
      <c r="B462" s="50"/>
      <c r="C462" s="46"/>
      <c r="D462" s="46"/>
      <c r="E462" s="46"/>
      <c r="F462" s="47"/>
      <c r="G462" s="47"/>
      <c r="H462" s="47"/>
      <c r="I462" s="47"/>
      <c r="J462" s="47"/>
      <c r="K462" s="47"/>
      <c r="L462" s="47"/>
      <c r="M462" s="47"/>
      <c r="N462" s="47"/>
      <c r="O462" s="47"/>
      <c r="P462" s="47"/>
      <c r="Q462" s="47"/>
      <c r="R462" s="46"/>
      <c r="S462" s="25">
        <f t="shared" si="18"/>
        <v>0</v>
      </c>
      <c r="T462" s="25">
        <f>COUNTIF($V$4:V462,V462)</f>
        <v>273</v>
      </c>
      <c r="U462" s="25" t="str">
        <f>IF(T462=1,COUNTIF($T$4:T462,1),"")</f>
        <v/>
      </c>
      <c r="V462" s="26" t="str">
        <f>'施設状況(要更新)'!$E462&amp;'施設状況(要更新)'!$C462</f>
        <v/>
      </c>
      <c r="W462" s="26">
        <f>'施設状況(要更新)'!$F462</f>
        <v>0</v>
      </c>
      <c r="X462" s="27"/>
      <c r="Y462" s="26"/>
    </row>
    <row r="463" spans="1:25" s="10" customFormat="1" ht="11.25">
      <c r="A463" s="45"/>
      <c r="B463" s="50"/>
      <c r="C463" s="46"/>
      <c r="D463" s="46"/>
      <c r="E463" s="46"/>
      <c r="F463" s="47"/>
      <c r="G463" s="47"/>
      <c r="H463" s="47"/>
      <c r="I463" s="47"/>
      <c r="J463" s="47"/>
      <c r="K463" s="47"/>
      <c r="L463" s="47"/>
      <c r="M463" s="47"/>
      <c r="N463" s="47"/>
      <c r="O463" s="47"/>
      <c r="P463" s="47"/>
      <c r="Q463" s="47"/>
      <c r="R463" s="46"/>
      <c r="S463" s="25">
        <f t="shared" si="18"/>
        <v>0</v>
      </c>
      <c r="T463" s="25">
        <f>COUNTIF($V$4:V463,V463)</f>
        <v>274</v>
      </c>
      <c r="U463" s="25" t="str">
        <f>IF(T463=1,COUNTIF($T$4:T463,1),"")</f>
        <v/>
      </c>
      <c r="V463" s="26" t="str">
        <f>'施設状況(要更新)'!$E463&amp;'施設状況(要更新)'!$C463</f>
        <v/>
      </c>
      <c r="W463" s="26">
        <f>'施設状況(要更新)'!$F463</f>
        <v>0</v>
      </c>
      <c r="X463" s="27"/>
      <c r="Y463" s="26"/>
    </row>
    <row r="464" spans="1:25" s="10" customFormat="1" ht="11.25">
      <c r="A464" s="45"/>
      <c r="B464" s="50"/>
      <c r="C464" s="46"/>
      <c r="D464" s="46"/>
      <c r="E464" s="46"/>
      <c r="F464" s="47"/>
      <c r="G464" s="47"/>
      <c r="H464" s="47"/>
      <c r="I464" s="47"/>
      <c r="J464" s="47"/>
      <c r="K464" s="47"/>
      <c r="L464" s="47"/>
      <c r="M464" s="47"/>
      <c r="N464" s="47"/>
      <c r="O464" s="47"/>
      <c r="P464" s="47"/>
      <c r="Q464" s="47"/>
      <c r="R464" s="46"/>
      <c r="S464" s="25">
        <f t="shared" si="18"/>
        <v>0</v>
      </c>
      <c r="T464" s="25">
        <f>COUNTIF($V$4:V464,V464)</f>
        <v>275</v>
      </c>
      <c r="U464" s="25" t="str">
        <f>IF(T464=1,COUNTIF($T$4:T464,1),"")</f>
        <v/>
      </c>
      <c r="V464" s="26" t="str">
        <f>'施設状況(要更新)'!$E464&amp;'施設状況(要更新)'!$C464</f>
        <v/>
      </c>
      <c r="W464" s="26">
        <f>'施設状況(要更新)'!$F464</f>
        <v>0</v>
      </c>
      <c r="X464" s="27"/>
      <c r="Y464" s="26"/>
    </row>
    <row r="465" spans="1:25" s="10" customFormat="1" ht="11.25">
      <c r="A465" s="45"/>
      <c r="B465" s="50"/>
      <c r="C465" s="46"/>
      <c r="D465" s="46"/>
      <c r="E465" s="46"/>
      <c r="F465" s="47"/>
      <c r="G465" s="47"/>
      <c r="H465" s="47"/>
      <c r="I465" s="47"/>
      <c r="J465" s="47"/>
      <c r="K465" s="47"/>
      <c r="L465" s="47"/>
      <c r="M465" s="47"/>
      <c r="N465" s="47"/>
      <c r="O465" s="47"/>
      <c r="P465" s="47"/>
      <c r="Q465" s="47"/>
      <c r="R465" s="46"/>
      <c r="S465" s="25">
        <f t="shared" si="18"/>
        <v>0</v>
      </c>
      <c r="T465" s="25">
        <f>COUNTIF($V$4:V465,V465)</f>
        <v>276</v>
      </c>
      <c r="U465" s="25" t="str">
        <f>IF(T465=1,COUNTIF($T$4:T465,1),"")</f>
        <v/>
      </c>
      <c r="V465" s="26" t="str">
        <f>'施設状況(要更新)'!$E465&amp;'施設状況(要更新)'!$C465</f>
        <v/>
      </c>
      <c r="W465" s="26">
        <f>'施設状況(要更新)'!$F465</f>
        <v>0</v>
      </c>
      <c r="X465" s="27"/>
      <c r="Y465" s="26"/>
    </row>
    <row r="466" spans="1:25" s="10" customFormat="1" ht="11.25">
      <c r="A466" s="45"/>
      <c r="B466" s="50"/>
      <c r="C466" s="46"/>
      <c r="D466" s="46"/>
      <c r="E466" s="46"/>
      <c r="F466" s="47"/>
      <c r="G466" s="47"/>
      <c r="H466" s="47"/>
      <c r="I466" s="47"/>
      <c r="J466" s="47"/>
      <c r="K466" s="47"/>
      <c r="L466" s="47"/>
      <c r="M466" s="47"/>
      <c r="N466" s="47"/>
      <c r="O466" s="47"/>
      <c r="P466" s="47"/>
      <c r="Q466" s="47"/>
      <c r="R466" s="46"/>
      <c r="S466" s="25">
        <f t="shared" si="18"/>
        <v>0</v>
      </c>
      <c r="T466" s="25">
        <f>COUNTIF($V$4:V466,V466)</f>
        <v>277</v>
      </c>
      <c r="U466" s="25" t="str">
        <f>IF(T466=1,COUNTIF($T$4:T466,1),"")</f>
        <v/>
      </c>
      <c r="V466" s="26" t="str">
        <f>'施設状況(要更新)'!$E466&amp;'施設状況(要更新)'!$C466</f>
        <v/>
      </c>
      <c r="W466" s="26">
        <f>'施設状況(要更新)'!$F466</f>
        <v>0</v>
      </c>
      <c r="X466" s="27"/>
      <c r="Y466" s="26"/>
    </row>
    <row r="467" spans="1:25" s="10" customFormat="1" ht="11.25">
      <c r="A467" s="45"/>
      <c r="B467" s="50"/>
      <c r="C467" s="46"/>
      <c r="D467" s="46"/>
      <c r="E467" s="46"/>
      <c r="F467" s="47"/>
      <c r="G467" s="47"/>
      <c r="H467" s="47"/>
      <c r="I467" s="47"/>
      <c r="J467" s="47"/>
      <c r="K467" s="47"/>
      <c r="L467" s="47"/>
      <c r="M467" s="47"/>
      <c r="N467" s="47"/>
      <c r="O467" s="47"/>
      <c r="P467" s="47"/>
      <c r="Q467" s="47"/>
      <c r="R467" s="46"/>
      <c r="S467" s="25">
        <f t="shared" si="18"/>
        <v>0</v>
      </c>
      <c r="T467" s="25">
        <f>COUNTIF($V$4:V467,V467)</f>
        <v>278</v>
      </c>
      <c r="U467" s="25" t="str">
        <f>IF(T467=1,COUNTIF($T$4:T467,1),"")</f>
        <v/>
      </c>
      <c r="V467" s="26" t="str">
        <f>'施設状況(要更新)'!$E467&amp;'施設状況(要更新)'!$C467</f>
        <v/>
      </c>
      <c r="W467" s="26">
        <f>'施設状況(要更新)'!$F467</f>
        <v>0</v>
      </c>
      <c r="X467" s="27"/>
      <c r="Y467" s="26"/>
    </row>
    <row r="468" spans="1:25" s="10" customFormat="1" ht="11.25">
      <c r="A468" s="45"/>
      <c r="B468" s="50"/>
      <c r="C468" s="46"/>
      <c r="D468" s="46"/>
      <c r="E468" s="46"/>
      <c r="F468" s="47"/>
      <c r="G468" s="47"/>
      <c r="H468" s="47"/>
      <c r="I468" s="47"/>
      <c r="J468" s="47"/>
      <c r="K468" s="47"/>
      <c r="L468" s="47"/>
      <c r="M468" s="47"/>
      <c r="N468" s="47"/>
      <c r="O468" s="47"/>
      <c r="P468" s="47"/>
      <c r="Q468" s="47"/>
      <c r="R468" s="46"/>
      <c r="S468" s="25">
        <f t="shared" si="18"/>
        <v>0</v>
      </c>
      <c r="T468" s="25">
        <f>COUNTIF($V$4:V468,V468)</f>
        <v>279</v>
      </c>
      <c r="U468" s="25" t="str">
        <f>IF(T468=1,COUNTIF($T$4:T468,1),"")</f>
        <v/>
      </c>
      <c r="V468" s="26" t="str">
        <f>'施設状況(要更新)'!$E468&amp;'施設状況(要更新)'!$C468</f>
        <v/>
      </c>
      <c r="W468" s="26">
        <f>'施設状況(要更新)'!$F468</f>
        <v>0</v>
      </c>
      <c r="X468" s="27"/>
      <c r="Y468" s="26"/>
    </row>
    <row r="469" spans="1:25" s="10" customFormat="1" ht="11.25">
      <c r="A469" s="45"/>
      <c r="B469" s="50"/>
      <c r="C469" s="46"/>
      <c r="D469" s="46"/>
      <c r="E469" s="46"/>
      <c r="F469" s="47"/>
      <c r="G469" s="47"/>
      <c r="H469" s="47"/>
      <c r="I469" s="47"/>
      <c r="J469" s="47"/>
      <c r="K469" s="47"/>
      <c r="L469" s="47"/>
      <c r="M469" s="47"/>
      <c r="N469" s="47"/>
      <c r="O469" s="47"/>
      <c r="P469" s="47"/>
      <c r="Q469" s="47"/>
      <c r="R469" s="46"/>
      <c r="S469" s="25">
        <f t="shared" si="18"/>
        <v>0</v>
      </c>
      <c r="T469" s="25">
        <f>COUNTIF($V$4:V469,V469)</f>
        <v>280</v>
      </c>
      <c r="U469" s="25" t="str">
        <f>IF(T469=1,COUNTIF($T$4:T469,1),"")</f>
        <v/>
      </c>
      <c r="V469" s="26" t="str">
        <f>'施設状況(要更新)'!$E469&amp;'施設状況(要更新)'!$C469</f>
        <v/>
      </c>
      <c r="W469" s="26">
        <f>'施設状況(要更新)'!$F469</f>
        <v>0</v>
      </c>
      <c r="X469" s="27"/>
      <c r="Y469" s="26"/>
    </row>
    <row r="470" spans="1:25" s="10" customFormat="1" ht="11.25">
      <c r="A470" s="45"/>
      <c r="B470" s="50"/>
      <c r="C470" s="46"/>
      <c r="D470" s="46"/>
      <c r="E470" s="46"/>
      <c r="F470" s="47"/>
      <c r="G470" s="47"/>
      <c r="H470" s="47"/>
      <c r="I470" s="47"/>
      <c r="J470" s="47"/>
      <c r="K470" s="47"/>
      <c r="L470" s="47"/>
      <c r="M470" s="47"/>
      <c r="N470" s="47"/>
      <c r="O470" s="47"/>
      <c r="P470" s="47"/>
      <c r="Q470" s="47"/>
      <c r="R470" s="46"/>
      <c r="S470" s="25">
        <f t="shared" si="18"/>
        <v>0</v>
      </c>
      <c r="T470" s="25">
        <f>COUNTIF($V$4:V470,V470)</f>
        <v>281</v>
      </c>
      <c r="U470" s="25" t="str">
        <f>IF(T470=1,COUNTIF($T$4:T470,1),"")</f>
        <v/>
      </c>
      <c r="V470" s="26" t="str">
        <f>'施設状況(要更新)'!$E470&amp;'施設状況(要更新)'!$C470</f>
        <v/>
      </c>
      <c r="W470" s="26">
        <f>'施設状況(要更新)'!$F470</f>
        <v>0</v>
      </c>
      <c r="X470" s="27"/>
      <c r="Y470" s="26"/>
    </row>
    <row r="471" spans="1:25" s="10" customFormat="1" ht="11.25">
      <c r="A471" s="45"/>
      <c r="B471" s="50"/>
      <c r="C471" s="46"/>
      <c r="D471" s="46"/>
      <c r="E471" s="46"/>
      <c r="F471" s="47"/>
      <c r="G471" s="47"/>
      <c r="H471" s="47"/>
      <c r="I471" s="47"/>
      <c r="J471" s="47"/>
      <c r="K471" s="47"/>
      <c r="L471" s="47"/>
      <c r="M471" s="47"/>
      <c r="N471" s="47"/>
      <c r="O471" s="47"/>
      <c r="P471" s="47"/>
      <c r="Q471" s="47"/>
      <c r="R471" s="46"/>
      <c r="S471" s="25">
        <f t="shared" si="18"/>
        <v>0</v>
      </c>
      <c r="T471" s="25">
        <f>COUNTIF($V$4:V471,V471)</f>
        <v>282</v>
      </c>
      <c r="U471" s="25" t="str">
        <f>IF(T471=1,COUNTIF($T$4:T471,1),"")</f>
        <v/>
      </c>
      <c r="V471" s="26" t="str">
        <f>'施設状況(要更新)'!$E471&amp;'施設状況(要更新)'!$C471</f>
        <v/>
      </c>
      <c r="W471" s="26">
        <f>'施設状況(要更新)'!$F471</f>
        <v>0</v>
      </c>
      <c r="X471" s="27"/>
      <c r="Y471" s="26"/>
    </row>
    <row r="472" spans="1:25" s="10" customFormat="1" ht="11.25">
      <c r="A472" s="45"/>
      <c r="B472" s="50"/>
      <c r="C472" s="46"/>
      <c r="D472" s="46"/>
      <c r="E472" s="46"/>
      <c r="F472" s="47"/>
      <c r="G472" s="47"/>
      <c r="H472" s="47"/>
      <c r="I472" s="47"/>
      <c r="J472" s="47"/>
      <c r="K472" s="47"/>
      <c r="L472" s="47"/>
      <c r="M472" s="47"/>
      <c r="N472" s="47"/>
      <c r="O472" s="47"/>
      <c r="P472" s="47"/>
      <c r="Q472" s="47"/>
      <c r="R472" s="46"/>
      <c r="S472" s="25">
        <f t="shared" si="18"/>
        <v>0</v>
      </c>
      <c r="T472" s="25">
        <f>COUNTIF($V$4:V472,V472)</f>
        <v>283</v>
      </c>
      <c r="U472" s="25" t="str">
        <f>IF(T472=1,COUNTIF($T$4:T472,1),"")</f>
        <v/>
      </c>
      <c r="V472" s="26" t="str">
        <f>'施設状況(要更新)'!$E472&amp;'施設状況(要更新)'!$C472</f>
        <v/>
      </c>
      <c r="W472" s="26">
        <f>'施設状況(要更新)'!$F472</f>
        <v>0</v>
      </c>
      <c r="X472" s="27"/>
      <c r="Y472" s="26"/>
    </row>
    <row r="473" spans="1:25" s="10" customFormat="1" ht="11.25">
      <c r="A473" s="45"/>
      <c r="B473" s="50"/>
      <c r="C473" s="46"/>
      <c r="D473" s="46"/>
      <c r="E473" s="46"/>
      <c r="F473" s="47"/>
      <c r="G473" s="47"/>
      <c r="H473" s="47"/>
      <c r="I473" s="47"/>
      <c r="J473" s="47"/>
      <c r="K473" s="47"/>
      <c r="L473" s="47"/>
      <c r="M473" s="47"/>
      <c r="N473" s="47"/>
      <c r="O473" s="47"/>
      <c r="P473" s="47"/>
      <c r="Q473" s="47"/>
      <c r="R473" s="46"/>
      <c r="S473" s="25">
        <f t="shared" si="18"/>
        <v>0</v>
      </c>
      <c r="T473" s="25">
        <f>COUNTIF($V$4:V473,V473)</f>
        <v>284</v>
      </c>
      <c r="U473" s="25" t="str">
        <f>IF(T473=1,COUNTIF($T$4:T473,1),"")</f>
        <v/>
      </c>
      <c r="V473" s="26" t="str">
        <f>'施設状況(要更新)'!$E473&amp;'施設状況(要更新)'!$C473</f>
        <v/>
      </c>
      <c r="W473" s="26">
        <f>'施設状況(要更新)'!$F473</f>
        <v>0</v>
      </c>
      <c r="X473" s="27"/>
      <c r="Y473" s="26"/>
    </row>
    <row r="474" spans="1:25" s="10" customFormat="1" ht="11.25">
      <c r="A474" s="45"/>
      <c r="B474" s="50"/>
      <c r="C474" s="46"/>
      <c r="D474" s="46"/>
      <c r="E474" s="46"/>
      <c r="F474" s="47"/>
      <c r="G474" s="47"/>
      <c r="H474" s="47"/>
      <c r="I474" s="47"/>
      <c r="J474" s="47"/>
      <c r="K474" s="47"/>
      <c r="L474" s="47"/>
      <c r="M474" s="47"/>
      <c r="N474" s="47"/>
      <c r="O474" s="47"/>
      <c r="P474" s="47"/>
      <c r="Q474" s="47"/>
      <c r="R474" s="46"/>
      <c r="S474" s="25">
        <f t="shared" si="18"/>
        <v>0</v>
      </c>
      <c r="T474" s="25">
        <f>COUNTIF($V$4:V474,V474)</f>
        <v>285</v>
      </c>
      <c r="U474" s="25" t="str">
        <f>IF(T474=1,COUNTIF($T$4:T474,1),"")</f>
        <v/>
      </c>
      <c r="V474" s="26" t="str">
        <f>'施設状況(要更新)'!$E474&amp;'施設状況(要更新)'!$C474</f>
        <v/>
      </c>
      <c r="W474" s="26">
        <f>'施設状況(要更新)'!$F474</f>
        <v>0</v>
      </c>
      <c r="X474" s="27"/>
      <c r="Y474" s="26"/>
    </row>
    <row r="475" spans="1:25" s="10" customFormat="1" ht="11.25">
      <c r="A475" s="45"/>
      <c r="B475" s="50"/>
      <c r="C475" s="46"/>
      <c r="D475" s="46"/>
      <c r="E475" s="46"/>
      <c r="F475" s="47"/>
      <c r="G475" s="47"/>
      <c r="H475" s="47"/>
      <c r="I475" s="47"/>
      <c r="J475" s="47"/>
      <c r="K475" s="47"/>
      <c r="L475" s="47"/>
      <c r="M475" s="47"/>
      <c r="N475" s="47"/>
      <c r="O475" s="47"/>
      <c r="P475" s="47"/>
      <c r="Q475" s="47"/>
      <c r="R475" s="46"/>
      <c r="S475" s="25">
        <f t="shared" si="18"/>
        <v>0</v>
      </c>
      <c r="T475" s="25">
        <f>COUNTIF($V$4:V475,V475)</f>
        <v>286</v>
      </c>
      <c r="U475" s="25" t="str">
        <f>IF(T475=1,COUNTIF($T$4:T475,1),"")</f>
        <v/>
      </c>
      <c r="V475" s="26" t="str">
        <f>'施設状況(要更新)'!$E475&amp;'施設状況(要更新)'!$C475</f>
        <v/>
      </c>
      <c r="W475" s="26">
        <f>'施設状況(要更新)'!$F475</f>
        <v>0</v>
      </c>
      <c r="X475" s="27"/>
      <c r="Y475" s="26"/>
    </row>
    <row r="476" spans="1:25" s="10" customFormat="1" ht="11.25">
      <c r="A476" s="45"/>
      <c r="B476" s="50"/>
      <c r="C476" s="46"/>
      <c r="D476" s="46"/>
      <c r="E476" s="46"/>
      <c r="F476" s="47"/>
      <c r="G476" s="47"/>
      <c r="H476" s="47"/>
      <c r="I476" s="47"/>
      <c r="J476" s="47"/>
      <c r="K476" s="47"/>
      <c r="L476" s="47"/>
      <c r="M476" s="47"/>
      <c r="N476" s="47"/>
      <c r="O476" s="47"/>
      <c r="P476" s="47"/>
      <c r="Q476" s="47"/>
      <c r="R476" s="46"/>
      <c r="S476" s="25">
        <f t="shared" si="18"/>
        <v>0</v>
      </c>
      <c r="T476" s="25">
        <f>COUNTIF($V$4:V476,V476)</f>
        <v>287</v>
      </c>
      <c r="U476" s="25" t="str">
        <f>IF(T476=1,COUNTIF($T$4:T476,1),"")</f>
        <v/>
      </c>
      <c r="V476" s="26" t="str">
        <f>'施設状況(要更新)'!$E476&amp;'施設状況(要更新)'!$C476</f>
        <v/>
      </c>
      <c r="W476" s="26">
        <f>'施設状況(要更新)'!$F476</f>
        <v>0</v>
      </c>
      <c r="X476" s="27"/>
      <c r="Y476" s="26"/>
    </row>
    <row r="477" spans="1:25" s="10" customFormat="1" ht="11.25">
      <c r="A477" s="45"/>
      <c r="B477" s="50"/>
      <c r="C477" s="46"/>
      <c r="D477" s="46"/>
      <c r="E477" s="46"/>
      <c r="F477" s="47"/>
      <c r="G477" s="47"/>
      <c r="H477" s="47"/>
      <c r="I477" s="47"/>
      <c r="J477" s="47"/>
      <c r="K477" s="47"/>
      <c r="L477" s="47"/>
      <c r="M477" s="47"/>
      <c r="N477" s="47"/>
      <c r="O477" s="47"/>
      <c r="P477" s="47"/>
      <c r="Q477" s="47"/>
      <c r="R477" s="46"/>
      <c r="S477" s="25">
        <f t="shared" si="18"/>
        <v>0</v>
      </c>
      <c r="T477" s="25">
        <f>COUNTIF($V$4:V477,V477)</f>
        <v>288</v>
      </c>
      <c r="U477" s="25" t="str">
        <f>IF(T477=1,COUNTIF($T$4:T477,1),"")</f>
        <v/>
      </c>
      <c r="V477" s="26" t="str">
        <f>'施設状況(要更新)'!$E477&amp;'施設状況(要更新)'!$C477</f>
        <v/>
      </c>
      <c r="W477" s="26">
        <f>'施設状況(要更新)'!$F477</f>
        <v>0</v>
      </c>
      <c r="X477" s="27"/>
      <c r="Y477" s="26"/>
    </row>
    <row r="478" spans="1:25" s="10" customFormat="1" ht="11.25">
      <c r="A478" s="45"/>
      <c r="B478" s="50"/>
      <c r="C478" s="46"/>
      <c r="D478" s="46"/>
      <c r="E478" s="46"/>
      <c r="F478" s="47"/>
      <c r="G478" s="47"/>
      <c r="H478" s="47"/>
      <c r="I478" s="47"/>
      <c r="J478" s="47"/>
      <c r="K478" s="47"/>
      <c r="L478" s="47"/>
      <c r="M478" s="47"/>
      <c r="N478" s="47"/>
      <c r="O478" s="47"/>
      <c r="P478" s="47"/>
      <c r="Q478" s="47"/>
      <c r="R478" s="46"/>
      <c r="S478" s="25">
        <f t="shared" si="18"/>
        <v>0</v>
      </c>
      <c r="T478" s="25">
        <f>COUNTIF($V$4:V478,V478)</f>
        <v>289</v>
      </c>
      <c r="U478" s="25" t="str">
        <f>IF(T478=1,COUNTIF($T$4:T478,1),"")</f>
        <v/>
      </c>
      <c r="V478" s="26" t="str">
        <f>'施設状況(要更新)'!$E478&amp;'施設状況(要更新)'!$C478</f>
        <v/>
      </c>
      <c r="W478" s="26">
        <f>'施設状況(要更新)'!$F478</f>
        <v>0</v>
      </c>
      <c r="X478" s="27"/>
      <c r="Y478" s="26"/>
    </row>
    <row r="479" spans="1:25" s="10" customFormat="1" ht="11.25">
      <c r="A479" s="45"/>
      <c r="B479" s="50"/>
      <c r="C479" s="46"/>
      <c r="D479" s="46"/>
      <c r="E479" s="46"/>
      <c r="F479" s="47"/>
      <c r="G479" s="47"/>
      <c r="H479" s="47"/>
      <c r="I479" s="47"/>
      <c r="J479" s="47"/>
      <c r="K479" s="47"/>
      <c r="L479" s="47"/>
      <c r="M479" s="47"/>
      <c r="N479" s="47"/>
      <c r="O479" s="47"/>
      <c r="P479" s="47"/>
      <c r="Q479" s="47"/>
      <c r="R479" s="46"/>
      <c r="S479" s="25">
        <f t="shared" si="18"/>
        <v>0</v>
      </c>
      <c r="T479" s="25">
        <f>COUNTIF($V$4:V479,V479)</f>
        <v>290</v>
      </c>
      <c r="U479" s="25" t="str">
        <f>IF(T479=1,COUNTIF($T$4:T479,1),"")</f>
        <v/>
      </c>
      <c r="V479" s="26" t="str">
        <f>'施設状況(要更新)'!$E479&amp;'施設状況(要更新)'!$C479</f>
        <v/>
      </c>
      <c r="W479" s="26">
        <f>'施設状況(要更新)'!$F479</f>
        <v>0</v>
      </c>
      <c r="X479" s="27"/>
      <c r="Y479" s="26"/>
    </row>
    <row r="480" spans="1:25" s="10" customFormat="1" ht="11.25">
      <c r="A480" s="45"/>
      <c r="B480" s="50"/>
      <c r="C480" s="46"/>
      <c r="D480" s="46"/>
      <c r="E480" s="46"/>
      <c r="F480" s="47"/>
      <c r="G480" s="47"/>
      <c r="H480" s="47"/>
      <c r="I480" s="47"/>
      <c r="J480" s="47"/>
      <c r="K480" s="47"/>
      <c r="L480" s="47"/>
      <c r="M480" s="47"/>
      <c r="N480" s="47"/>
      <c r="O480" s="47"/>
      <c r="P480" s="47"/>
      <c r="Q480" s="47"/>
      <c r="R480" s="46"/>
      <c r="S480" s="25">
        <f t="shared" si="18"/>
        <v>0</v>
      </c>
      <c r="T480" s="25">
        <f>COUNTIF($V$4:V480,V480)</f>
        <v>291</v>
      </c>
      <c r="U480" s="25" t="str">
        <f>IF(T480=1,COUNTIF($T$4:T480,1),"")</f>
        <v/>
      </c>
      <c r="V480" s="26" t="str">
        <f>'施設状況(要更新)'!$E480&amp;'施設状況(要更新)'!$C480</f>
        <v/>
      </c>
      <c r="W480" s="26">
        <f>'施設状況(要更新)'!$F480</f>
        <v>0</v>
      </c>
      <c r="X480" s="27"/>
      <c r="Y480" s="26"/>
    </row>
    <row r="481" spans="1:25" s="10" customFormat="1" ht="11.25">
      <c r="A481" s="45"/>
      <c r="B481" s="50"/>
      <c r="C481" s="46"/>
      <c r="D481" s="46"/>
      <c r="E481" s="46"/>
      <c r="F481" s="47"/>
      <c r="G481" s="47"/>
      <c r="H481" s="47"/>
      <c r="I481" s="47"/>
      <c r="J481" s="47"/>
      <c r="K481" s="47"/>
      <c r="L481" s="47"/>
      <c r="M481" s="47"/>
      <c r="N481" s="47"/>
      <c r="O481" s="47"/>
      <c r="P481" s="47"/>
      <c r="Q481" s="47"/>
      <c r="R481" s="46"/>
      <c r="S481" s="25">
        <f t="shared" si="18"/>
        <v>0</v>
      </c>
      <c r="T481" s="25">
        <f>COUNTIF($V$4:V481,V481)</f>
        <v>292</v>
      </c>
      <c r="U481" s="25" t="str">
        <f>IF(T481=1,COUNTIF($T$4:T481,1),"")</f>
        <v/>
      </c>
      <c r="V481" s="26" t="str">
        <f>'施設状況(要更新)'!$E481&amp;'施設状況(要更新)'!$C481</f>
        <v/>
      </c>
      <c r="W481" s="26">
        <f>'施設状況(要更新)'!$F481</f>
        <v>0</v>
      </c>
      <c r="X481" s="27"/>
      <c r="Y481" s="26"/>
    </row>
    <row r="482" spans="1:25" s="10" customFormat="1" ht="11.25">
      <c r="A482" s="45"/>
      <c r="B482" s="50"/>
      <c r="C482" s="46"/>
      <c r="D482" s="46"/>
      <c r="E482" s="46"/>
      <c r="F482" s="47"/>
      <c r="G482" s="47"/>
      <c r="H482" s="47"/>
      <c r="I482" s="47"/>
      <c r="J482" s="47"/>
      <c r="K482" s="47"/>
      <c r="L482" s="47"/>
      <c r="M482" s="47"/>
      <c r="N482" s="47"/>
      <c r="O482" s="47"/>
      <c r="P482" s="47"/>
      <c r="Q482" s="47"/>
      <c r="R482" s="46"/>
      <c r="S482" s="25">
        <f t="shared" si="18"/>
        <v>0</v>
      </c>
      <c r="T482" s="25">
        <f>COUNTIF($V$4:V482,V482)</f>
        <v>293</v>
      </c>
      <c r="U482" s="25" t="str">
        <f>IF(T482=1,COUNTIF($T$4:T482,1),"")</f>
        <v/>
      </c>
      <c r="V482" s="26" t="str">
        <f>'施設状況(要更新)'!$E482&amp;'施設状況(要更新)'!$C482</f>
        <v/>
      </c>
      <c r="W482" s="26">
        <f>'施設状況(要更新)'!$F482</f>
        <v>0</v>
      </c>
      <c r="X482" s="27"/>
      <c r="Y482" s="26"/>
    </row>
    <row r="483" spans="1:25" s="10" customFormat="1" ht="11.25">
      <c r="A483" s="45"/>
      <c r="B483" s="50"/>
      <c r="C483" s="46"/>
      <c r="D483" s="46"/>
      <c r="E483" s="46"/>
      <c r="F483" s="47"/>
      <c r="G483" s="47"/>
      <c r="H483" s="47"/>
      <c r="I483" s="47"/>
      <c r="J483" s="47"/>
      <c r="K483" s="47"/>
      <c r="L483" s="47"/>
      <c r="M483" s="47"/>
      <c r="N483" s="47"/>
      <c r="O483" s="47"/>
      <c r="P483" s="47"/>
      <c r="Q483" s="47"/>
      <c r="R483" s="46"/>
      <c r="S483" s="25">
        <f t="shared" si="18"/>
        <v>0</v>
      </c>
      <c r="T483" s="25">
        <f>COUNTIF($V$4:V483,V483)</f>
        <v>294</v>
      </c>
      <c r="U483" s="25" t="str">
        <f>IF(T483=1,COUNTIF($T$4:T483,1),"")</f>
        <v/>
      </c>
      <c r="V483" s="26" t="str">
        <f>'施設状況(要更新)'!$E483&amp;'施設状況(要更新)'!$C483</f>
        <v/>
      </c>
      <c r="W483" s="26">
        <f>'施設状況(要更新)'!$F483</f>
        <v>0</v>
      </c>
      <c r="X483" s="27"/>
      <c r="Y483" s="26"/>
    </row>
    <row r="484" spans="1:25" s="10" customFormat="1" ht="11.25">
      <c r="A484" s="45"/>
      <c r="B484" s="50"/>
      <c r="C484" s="46"/>
      <c r="D484" s="46"/>
      <c r="E484" s="46"/>
      <c r="F484" s="47"/>
      <c r="G484" s="47"/>
      <c r="H484" s="47"/>
      <c r="I484" s="47"/>
      <c r="J484" s="47"/>
      <c r="K484" s="47"/>
      <c r="L484" s="47"/>
      <c r="M484" s="47"/>
      <c r="N484" s="47"/>
      <c r="O484" s="47"/>
      <c r="P484" s="47"/>
      <c r="Q484" s="47"/>
      <c r="R484" s="46"/>
      <c r="S484" s="25">
        <f t="shared" si="18"/>
        <v>0</v>
      </c>
      <c r="T484" s="25">
        <f>COUNTIF($V$4:V484,V484)</f>
        <v>295</v>
      </c>
      <c r="U484" s="25" t="str">
        <f>IF(T484=1,COUNTIF($T$4:T484,1),"")</f>
        <v/>
      </c>
      <c r="V484" s="26" t="str">
        <f>'施設状況(要更新)'!$E484&amp;'施設状況(要更新)'!$C484</f>
        <v/>
      </c>
      <c r="W484" s="26">
        <f>'施設状況(要更新)'!$F484</f>
        <v>0</v>
      </c>
      <c r="X484" s="27"/>
      <c r="Y484" s="26"/>
    </row>
    <row r="485" spans="1:25" s="10" customFormat="1" ht="11.25">
      <c r="A485" s="45"/>
      <c r="B485" s="50"/>
      <c r="C485" s="46"/>
      <c r="D485" s="46"/>
      <c r="E485" s="46"/>
      <c r="F485" s="47"/>
      <c r="G485" s="47"/>
      <c r="H485" s="47"/>
      <c r="I485" s="47"/>
      <c r="J485" s="47"/>
      <c r="K485" s="47"/>
      <c r="L485" s="47"/>
      <c r="M485" s="47"/>
      <c r="N485" s="47"/>
      <c r="O485" s="47"/>
      <c r="P485" s="47"/>
      <c r="Q485" s="47"/>
      <c r="R485" s="46"/>
      <c r="S485" s="25">
        <f t="shared" si="18"/>
        <v>0</v>
      </c>
      <c r="T485" s="25">
        <f>COUNTIF($V$4:V485,V485)</f>
        <v>296</v>
      </c>
      <c r="U485" s="25" t="str">
        <f>IF(T485=1,COUNTIF($T$4:T485,1),"")</f>
        <v/>
      </c>
      <c r="V485" s="26" t="str">
        <f>'施設状況(要更新)'!$E485&amp;'施設状況(要更新)'!$C485</f>
        <v/>
      </c>
      <c r="W485" s="26">
        <f>'施設状況(要更新)'!$F485</f>
        <v>0</v>
      </c>
      <c r="X485" s="27"/>
      <c r="Y485" s="26"/>
    </row>
    <row r="486" spans="1:25" s="10" customFormat="1" ht="11.25">
      <c r="A486" s="45"/>
      <c r="B486" s="50"/>
      <c r="C486" s="46"/>
      <c r="D486" s="46"/>
      <c r="E486" s="46"/>
      <c r="F486" s="47"/>
      <c r="G486" s="47"/>
      <c r="H486" s="47"/>
      <c r="I486" s="47"/>
      <c r="J486" s="47"/>
      <c r="K486" s="47"/>
      <c r="L486" s="47"/>
      <c r="M486" s="47"/>
      <c r="N486" s="47"/>
      <c r="O486" s="47"/>
      <c r="P486" s="47"/>
      <c r="Q486" s="47"/>
      <c r="R486" s="46"/>
      <c r="S486" s="25">
        <f t="shared" si="18"/>
        <v>0</v>
      </c>
      <c r="T486" s="25">
        <f>COUNTIF($V$4:V486,V486)</f>
        <v>297</v>
      </c>
      <c r="U486" s="25" t="str">
        <f>IF(T486=1,COUNTIF($T$4:T486,1),"")</f>
        <v/>
      </c>
      <c r="V486" s="26" t="str">
        <f>'施設状況(要更新)'!$E486&amp;'施設状況(要更新)'!$C486</f>
        <v/>
      </c>
      <c r="W486" s="26">
        <f>'施設状況(要更新)'!$F486</f>
        <v>0</v>
      </c>
      <c r="X486" s="27"/>
      <c r="Y486" s="26"/>
    </row>
    <row r="487" spans="1:25" s="10" customFormat="1" ht="11.25">
      <c r="A487" s="45"/>
      <c r="B487" s="50"/>
      <c r="C487" s="46"/>
      <c r="D487" s="46"/>
      <c r="E487" s="46"/>
      <c r="F487" s="47"/>
      <c r="G487" s="47"/>
      <c r="H487" s="47"/>
      <c r="I487" s="47"/>
      <c r="J487" s="47"/>
      <c r="K487" s="47"/>
      <c r="L487" s="47"/>
      <c r="M487" s="47"/>
      <c r="N487" s="47"/>
      <c r="O487" s="47"/>
      <c r="P487" s="47"/>
      <c r="Q487" s="47"/>
      <c r="R487" s="46"/>
      <c r="S487" s="25">
        <f t="shared" si="18"/>
        <v>0</v>
      </c>
      <c r="T487" s="25">
        <f>COUNTIF($V$4:V487,V487)</f>
        <v>298</v>
      </c>
      <c r="U487" s="25" t="str">
        <f>IF(T487=1,COUNTIF($T$4:T487,1),"")</f>
        <v/>
      </c>
      <c r="V487" s="26" t="str">
        <f>'施設状況(要更新)'!$E487&amp;'施設状況(要更新)'!$C487</f>
        <v/>
      </c>
      <c r="W487" s="26">
        <f>'施設状況(要更新)'!$F487</f>
        <v>0</v>
      </c>
      <c r="X487" s="27"/>
      <c r="Y487" s="26"/>
    </row>
    <row r="488" spans="1:25" s="10" customFormat="1" ht="11.25">
      <c r="A488" s="45"/>
      <c r="B488" s="50"/>
      <c r="C488" s="46"/>
      <c r="D488" s="46"/>
      <c r="E488" s="46"/>
      <c r="F488" s="47"/>
      <c r="G488" s="47"/>
      <c r="H488" s="47"/>
      <c r="I488" s="47"/>
      <c r="J488" s="47"/>
      <c r="K488" s="47"/>
      <c r="L488" s="47"/>
      <c r="M488" s="47"/>
      <c r="N488" s="47"/>
      <c r="O488" s="47"/>
      <c r="P488" s="47"/>
      <c r="Q488" s="47"/>
      <c r="R488" s="46"/>
      <c r="S488" s="25">
        <f t="shared" si="18"/>
        <v>0</v>
      </c>
      <c r="T488" s="25">
        <f>COUNTIF($V$4:V488,V488)</f>
        <v>299</v>
      </c>
      <c r="U488" s="25" t="str">
        <f>IF(T488=1,COUNTIF($T$4:T488,1),"")</f>
        <v/>
      </c>
      <c r="V488" s="26" t="str">
        <f>'施設状況(要更新)'!$E488&amp;'施設状況(要更新)'!$C488</f>
        <v/>
      </c>
      <c r="W488" s="26">
        <f>'施設状況(要更新)'!$F488</f>
        <v>0</v>
      </c>
      <c r="X488" s="27"/>
      <c r="Y488" s="26"/>
    </row>
    <row r="489" spans="1:25" s="10" customFormat="1" ht="11.25">
      <c r="A489" s="45"/>
      <c r="B489" s="50"/>
      <c r="C489" s="46"/>
      <c r="D489" s="46"/>
      <c r="E489" s="46"/>
      <c r="F489" s="47"/>
      <c r="G489" s="47"/>
      <c r="H489" s="47"/>
      <c r="I489" s="47"/>
      <c r="J489" s="47"/>
      <c r="K489" s="47"/>
      <c r="L489" s="47"/>
      <c r="M489" s="47"/>
      <c r="N489" s="47"/>
      <c r="O489" s="47"/>
      <c r="P489" s="47"/>
      <c r="Q489" s="47"/>
      <c r="R489" s="46"/>
      <c r="S489" s="25">
        <f t="shared" si="18"/>
        <v>0</v>
      </c>
      <c r="T489" s="25">
        <f>COUNTIF($V$4:V489,V489)</f>
        <v>300</v>
      </c>
      <c r="U489" s="25" t="str">
        <f>IF(T489=1,COUNTIF($T$4:T489,1),"")</f>
        <v/>
      </c>
      <c r="V489" s="26" t="str">
        <f>'施設状況(要更新)'!$E489&amp;'施設状況(要更新)'!$C489</f>
        <v/>
      </c>
      <c r="W489" s="26">
        <f>'施設状況(要更新)'!$F489</f>
        <v>0</v>
      </c>
      <c r="X489" s="27"/>
      <c r="Y489" s="26"/>
    </row>
    <row r="490" spans="1:25" s="10" customFormat="1" ht="11.25">
      <c r="A490" s="45"/>
      <c r="B490" s="50"/>
      <c r="C490" s="46"/>
      <c r="D490" s="46"/>
      <c r="E490" s="46"/>
      <c r="F490" s="47"/>
      <c r="G490" s="47"/>
      <c r="H490" s="47"/>
      <c r="I490" s="47"/>
      <c r="J490" s="47"/>
      <c r="K490" s="47"/>
      <c r="L490" s="47"/>
      <c r="M490" s="47"/>
      <c r="N490" s="47"/>
      <c r="O490" s="47"/>
      <c r="P490" s="47"/>
      <c r="Q490" s="47"/>
      <c r="R490" s="46"/>
      <c r="S490" s="25">
        <f t="shared" si="18"/>
        <v>0</v>
      </c>
      <c r="T490" s="25">
        <f>COUNTIF($V$4:V490,V490)</f>
        <v>301</v>
      </c>
      <c r="U490" s="25" t="str">
        <f>IF(T490=1,COUNTIF($T$4:T490,1),"")</f>
        <v/>
      </c>
      <c r="V490" s="26" t="str">
        <f>'施設状況(要更新)'!$E490&amp;'施設状況(要更新)'!$C490</f>
        <v/>
      </c>
      <c r="W490" s="26">
        <f>'施設状況(要更新)'!$F490</f>
        <v>0</v>
      </c>
      <c r="X490" s="27"/>
      <c r="Y490" s="26"/>
    </row>
    <row r="491" spans="1:25" s="10" customFormat="1" ht="11.25">
      <c r="A491" s="45"/>
      <c r="B491" s="50"/>
      <c r="C491" s="46"/>
      <c r="D491" s="46"/>
      <c r="E491" s="46"/>
      <c r="F491" s="47"/>
      <c r="G491" s="47"/>
      <c r="H491" s="47"/>
      <c r="I491" s="47"/>
      <c r="J491" s="47"/>
      <c r="K491" s="47"/>
      <c r="L491" s="47"/>
      <c r="M491" s="47"/>
      <c r="N491" s="47"/>
      <c r="O491" s="47"/>
      <c r="P491" s="47"/>
      <c r="Q491" s="47"/>
      <c r="R491" s="46"/>
      <c r="S491" s="25">
        <f t="shared" si="18"/>
        <v>0</v>
      </c>
      <c r="T491" s="25">
        <f>COUNTIF($V$4:V491,V491)</f>
        <v>302</v>
      </c>
      <c r="U491" s="25" t="str">
        <f>IF(T491=1,COUNTIF($T$4:T491,1),"")</f>
        <v/>
      </c>
      <c r="V491" s="26" t="str">
        <f>'施設状況(要更新)'!$E491&amp;'施設状況(要更新)'!$C491</f>
        <v/>
      </c>
      <c r="W491" s="26">
        <f>'施設状況(要更新)'!$F491</f>
        <v>0</v>
      </c>
      <c r="X491" s="27"/>
      <c r="Y491" s="26"/>
    </row>
    <row r="492" spans="1:25" s="10" customFormat="1" ht="11.25">
      <c r="A492" s="45"/>
      <c r="B492" s="50"/>
      <c r="C492" s="46"/>
      <c r="D492" s="46"/>
      <c r="E492" s="46"/>
      <c r="F492" s="47"/>
      <c r="G492" s="47"/>
      <c r="H492" s="47"/>
      <c r="I492" s="47"/>
      <c r="J492" s="47"/>
      <c r="K492" s="47"/>
      <c r="L492" s="47"/>
      <c r="M492" s="47"/>
      <c r="N492" s="47"/>
      <c r="O492" s="47"/>
      <c r="P492" s="47"/>
      <c r="Q492" s="47"/>
      <c r="R492" s="46"/>
      <c r="S492" s="25">
        <f t="shared" si="18"/>
        <v>0</v>
      </c>
      <c r="T492" s="25">
        <f>COUNTIF($V$4:V492,V492)</f>
        <v>303</v>
      </c>
      <c r="U492" s="25" t="str">
        <f>IF(T492=1,COUNTIF($T$4:T492,1),"")</f>
        <v/>
      </c>
      <c r="V492" s="26" t="str">
        <f>'施設状況(要更新)'!$E492&amp;'施設状況(要更新)'!$C492</f>
        <v/>
      </c>
      <c r="W492" s="26">
        <f>'施設状況(要更新)'!$F492</f>
        <v>0</v>
      </c>
      <c r="X492" s="27"/>
      <c r="Y492" s="26"/>
    </row>
    <row r="493" spans="1:25" s="10" customFormat="1" ht="11.25">
      <c r="A493" s="45"/>
      <c r="B493" s="50"/>
      <c r="C493" s="46"/>
      <c r="D493" s="46"/>
      <c r="E493" s="46"/>
      <c r="F493" s="47"/>
      <c r="G493" s="47"/>
      <c r="H493" s="47"/>
      <c r="I493" s="47"/>
      <c r="J493" s="47"/>
      <c r="K493" s="47"/>
      <c r="L493" s="47"/>
      <c r="M493" s="47"/>
      <c r="N493" s="47"/>
      <c r="O493" s="47"/>
      <c r="P493" s="47"/>
      <c r="Q493" s="47"/>
      <c r="R493" s="46"/>
      <c r="S493" s="25">
        <f t="shared" si="18"/>
        <v>0</v>
      </c>
      <c r="T493" s="25">
        <f>COUNTIF($V$4:V493,V493)</f>
        <v>304</v>
      </c>
      <c r="U493" s="25" t="str">
        <f>IF(T493=1,COUNTIF($T$4:T493,1),"")</f>
        <v/>
      </c>
      <c r="V493" s="26" t="str">
        <f>'施設状況(要更新)'!$E493&amp;'施設状況(要更新)'!$C493</f>
        <v/>
      </c>
      <c r="W493" s="26">
        <f>'施設状況(要更新)'!$F493</f>
        <v>0</v>
      </c>
      <c r="X493" s="27"/>
      <c r="Y493" s="26"/>
    </row>
    <row r="494" spans="1:25" s="10" customFormat="1" ht="11.25">
      <c r="A494" s="45"/>
      <c r="B494" s="50"/>
      <c r="C494" s="46"/>
      <c r="D494" s="46"/>
      <c r="E494" s="46"/>
      <c r="F494" s="47"/>
      <c r="G494" s="47"/>
      <c r="H494" s="47"/>
      <c r="I494" s="47"/>
      <c r="J494" s="47"/>
      <c r="K494" s="47"/>
      <c r="L494" s="47"/>
      <c r="M494" s="47"/>
      <c r="N494" s="47"/>
      <c r="O494" s="47"/>
      <c r="P494" s="47"/>
      <c r="Q494" s="47"/>
      <c r="R494" s="46"/>
      <c r="S494" s="25">
        <f t="shared" si="18"/>
        <v>0</v>
      </c>
      <c r="T494" s="25">
        <f>COUNTIF($V$4:V494,V494)</f>
        <v>305</v>
      </c>
      <c r="U494" s="25" t="str">
        <f>IF(T494=1,COUNTIF($T$4:T494,1),"")</f>
        <v/>
      </c>
      <c r="V494" s="26" t="str">
        <f>'施設状況(要更新)'!$E494&amp;'施設状況(要更新)'!$C494</f>
        <v/>
      </c>
      <c r="W494" s="26">
        <f>'施設状況(要更新)'!$F494</f>
        <v>0</v>
      </c>
      <c r="X494" s="27"/>
      <c r="Y494" s="26"/>
    </row>
    <row r="495" spans="1:25" s="10" customFormat="1" ht="11.25">
      <c r="A495" s="45"/>
      <c r="B495" s="50"/>
      <c r="C495" s="46"/>
      <c r="D495" s="46"/>
      <c r="E495" s="46"/>
      <c r="F495" s="47"/>
      <c r="G495" s="47"/>
      <c r="H495" s="47"/>
      <c r="I495" s="47"/>
      <c r="J495" s="47"/>
      <c r="K495" s="47"/>
      <c r="L495" s="47"/>
      <c r="M495" s="47"/>
      <c r="N495" s="47"/>
      <c r="O495" s="47"/>
      <c r="P495" s="47"/>
      <c r="Q495" s="47"/>
      <c r="R495" s="46"/>
      <c r="S495" s="25">
        <f t="shared" ref="S495:S558" si="19">A495</f>
        <v>0</v>
      </c>
      <c r="T495" s="25">
        <f>COUNTIF($V$4:V495,V495)</f>
        <v>306</v>
      </c>
      <c r="U495" s="25" t="str">
        <f>IF(T495=1,COUNTIF($T$4:T495,1),"")</f>
        <v/>
      </c>
      <c r="V495" s="26" t="str">
        <f>'施設状況(要更新)'!$E495&amp;'施設状況(要更新)'!$C495</f>
        <v/>
      </c>
      <c r="W495" s="26">
        <f>'施設状況(要更新)'!$F495</f>
        <v>0</v>
      </c>
      <c r="X495" s="27"/>
      <c r="Y495" s="26"/>
    </row>
    <row r="496" spans="1:25" s="10" customFormat="1" ht="11.25">
      <c r="A496" s="45"/>
      <c r="B496" s="50"/>
      <c r="C496" s="46"/>
      <c r="D496" s="46"/>
      <c r="E496" s="46"/>
      <c r="F496" s="47"/>
      <c r="G496" s="47"/>
      <c r="H496" s="47"/>
      <c r="I496" s="47"/>
      <c r="J496" s="47"/>
      <c r="K496" s="47"/>
      <c r="L496" s="47"/>
      <c r="M496" s="47"/>
      <c r="N496" s="47"/>
      <c r="O496" s="47"/>
      <c r="P496" s="47"/>
      <c r="Q496" s="47"/>
      <c r="R496" s="46"/>
      <c r="S496" s="25">
        <f t="shared" si="19"/>
        <v>0</v>
      </c>
      <c r="T496" s="25">
        <f>COUNTIF($V$4:V496,V496)</f>
        <v>307</v>
      </c>
      <c r="U496" s="25" t="str">
        <f>IF(T496=1,COUNTIF($T$4:T496,1),"")</f>
        <v/>
      </c>
      <c r="V496" s="26" t="str">
        <f>'施設状況(要更新)'!$E496&amp;'施設状況(要更新)'!$C496</f>
        <v/>
      </c>
      <c r="W496" s="26">
        <f>'施設状況(要更新)'!$F496</f>
        <v>0</v>
      </c>
      <c r="X496" s="27"/>
      <c r="Y496" s="26"/>
    </row>
    <row r="497" spans="1:25" s="10" customFormat="1" ht="11.25">
      <c r="A497" s="45"/>
      <c r="B497" s="50"/>
      <c r="C497" s="46"/>
      <c r="D497" s="46"/>
      <c r="E497" s="46"/>
      <c r="F497" s="47"/>
      <c r="G497" s="47"/>
      <c r="H497" s="47"/>
      <c r="I497" s="47"/>
      <c r="J497" s="47"/>
      <c r="K497" s="47"/>
      <c r="L497" s="47"/>
      <c r="M497" s="47"/>
      <c r="N497" s="47"/>
      <c r="O497" s="47"/>
      <c r="P497" s="47"/>
      <c r="Q497" s="47"/>
      <c r="R497" s="46"/>
      <c r="S497" s="25">
        <f t="shared" si="19"/>
        <v>0</v>
      </c>
      <c r="T497" s="25">
        <f>COUNTIF($V$4:V497,V497)</f>
        <v>308</v>
      </c>
      <c r="U497" s="25" t="str">
        <f>IF(T497=1,COUNTIF($T$4:T497,1),"")</f>
        <v/>
      </c>
      <c r="V497" s="26" t="str">
        <f>'施設状況(要更新)'!$E497&amp;'施設状況(要更新)'!$C497</f>
        <v/>
      </c>
      <c r="W497" s="26">
        <f>'施設状況(要更新)'!$F497</f>
        <v>0</v>
      </c>
      <c r="X497" s="27"/>
      <c r="Y497" s="26"/>
    </row>
    <row r="498" spans="1:25" s="10" customFormat="1" ht="11.25">
      <c r="A498" s="45"/>
      <c r="B498" s="50"/>
      <c r="C498" s="46"/>
      <c r="D498" s="46"/>
      <c r="E498" s="46"/>
      <c r="F498" s="47"/>
      <c r="G498" s="47"/>
      <c r="H498" s="47"/>
      <c r="I498" s="47"/>
      <c r="J498" s="47"/>
      <c r="K498" s="47"/>
      <c r="L498" s="47"/>
      <c r="M498" s="47"/>
      <c r="N498" s="47"/>
      <c r="O498" s="47"/>
      <c r="P498" s="47"/>
      <c r="Q498" s="47"/>
      <c r="R498" s="46"/>
      <c r="S498" s="25">
        <f t="shared" si="19"/>
        <v>0</v>
      </c>
      <c r="T498" s="25">
        <f>COUNTIF($V$4:V498,V498)</f>
        <v>309</v>
      </c>
      <c r="U498" s="25" t="str">
        <f>IF(T498=1,COUNTIF($T$4:T498,1),"")</f>
        <v/>
      </c>
      <c r="V498" s="26" t="str">
        <f>'施設状況(要更新)'!$E498&amp;'施設状況(要更新)'!$C498</f>
        <v/>
      </c>
      <c r="W498" s="26">
        <f>'施設状況(要更新)'!$F498</f>
        <v>0</v>
      </c>
      <c r="X498" s="27"/>
      <c r="Y498" s="26"/>
    </row>
    <row r="499" spans="1:25" s="10" customFormat="1" ht="11.25">
      <c r="A499" s="45"/>
      <c r="B499" s="50"/>
      <c r="C499" s="46"/>
      <c r="D499" s="46"/>
      <c r="E499" s="46"/>
      <c r="F499" s="47"/>
      <c r="G499" s="47"/>
      <c r="H499" s="47"/>
      <c r="I499" s="47"/>
      <c r="J499" s="47"/>
      <c r="K499" s="47"/>
      <c r="L499" s="47"/>
      <c r="M499" s="47"/>
      <c r="N499" s="47"/>
      <c r="O499" s="47"/>
      <c r="P499" s="47"/>
      <c r="Q499" s="47"/>
      <c r="R499" s="46"/>
      <c r="S499" s="25">
        <f t="shared" si="19"/>
        <v>0</v>
      </c>
      <c r="T499" s="25">
        <f>COUNTIF($V$4:V499,V499)</f>
        <v>310</v>
      </c>
      <c r="U499" s="25" t="str">
        <f>IF(T499=1,COUNTIF($T$4:T499,1),"")</f>
        <v/>
      </c>
      <c r="V499" s="26" t="str">
        <f>'施設状況(要更新)'!$E499&amp;'施設状況(要更新)'!$C499</f>
        <v/>
      </c>
      <c r="W499" s="26">
        <f>'施設状況(要更新)'!$F499</f>
        <v>0</v>
      </c>
      <c r="X499" s="27"/>
      <c r="Y499" s="26"/>
    </row>
    <row r="500" spans="1:25" s="10" customFormat="1" ht="11.25">
      <c r="A500" s="45"/>
      <c r="B500" s="50"/>
      <c r="C500" s="46"/>
      <c r="D500" s="46"/>
      <c r="E500" s="46"/>
      <c r="F500" s="47"/>
      <c r="G500" s="47"/>
      <c r="H500" s="47"/>
      <c r="I500" s="47"/>
      <c r="J500" s="47"/>
      <c r="K500" s="47"/>
      <c r="L500" s="47"/>
      <c r="M500" s="47"/>
      <c r="N500" s="47"/>
      <c r="O500" s="47"/>
      <c r="P500" s="47"/>
      <c r="Q500" s="47"/>
      <c r="R500" s="46"/>
      <c r="S500" s="25">
        <f t="shared" si="19"/>
        <v>0</v>
      </c>
      <c r="T500" s="25">
        <f>COUNTIF($V$4:V500,V500)</f>
        <v>311</v>
      </c>
      <c r="U500" s="25" t="str">
        <f>IF(T500=1,COUNTIF($T$4:T500,1),"")</f>
        <v/>
      </c>
      <c r="V500" s="26" t="str">
        <f>'施設状況(要更新)'!$E500&amp;'施設状況(要更新)'!$C500</f>
        <v/>
      </c>
      <c r="W500" s="26">
        <f>'施設状況(要更新)'!$F500</f>
        <v>0</v>
      </c>
      <c r="X500" s="27"/>
      <c r="Y500" s="26"/>
    </row>
    <row r="501" spans="1:25" s="10" customFormat="1" ht="11.25">
      <c r="A501" s="45"/>
      <c r="B501" s="50"/>
      <c r="C501" s="46"/>
      <c r="D501" s="46"/>
      <c r="E501" s="46"/>
      <c r="F501" s="47"/>
      <c r="G501" s="47"/>
      <c r="H501" s="47"/>
      <c r="I501" s="47"/>
      <c r="J501" s="47"/>
      <c r="K501" s="47"/>
      <c r="L501" s="47"/>
      <c r="M501" s="47"/>
      <c r="N501" s="47"/>
      <c r="O501" s="47"/>
      <c r="P501" s="47"/>
      <c r="Q501" s="47"/>
      <c r="R501" s="46"/>
      <c r="S501" s="25">
        <f t="shared" si="19"/>
        <v>0</v>
      </c>
      <c r="T501" s="25">
        <f>COUNTIF($V$4:V501,V501)</f>
        <v>312</v>
      </c>
      <c r="U501" s="25" t="str">
        <f>IF(T501=1,COUNTIF($T$4:T501,1),"")</f>
        <v/>
      </c>
      <c r="V501" s="26" t="str">
        <f>'施設状況(要更新)'!$E501&amp;'施設状況(要更新)'!$C501</f>
        <v/>
      </c>
      <c r="W501" s="26">
        <f>'施設状況(要更新)'!$F501</f>
        <v>0</v>
      </c>
      <c r="X501" s="27"/>
      <c r="Y501" s="26"/>
    </row>
    <row r="502" spans="1:25" s="10" customFormat="1" ht="11.25">
      <c r="A502" s="45"/>
      <c r="B502" s="50"/>
      <c r="C502" s="46"/>
      <c r="D502" s="46"/>
      <c r="E502" s="46"/>
      <c r="F502" s="47"/>
      <c r="G502" s="47"/>
      <c r="H502" s="47"/>
      <c r="I502" s="47"/>
      <c r="J502" s="47"/>
      <c r="K502" s="47"/>
      <c r="L502" s="47"/>
      <c r="M502" s="47"/>
      <c r="N502" s="47"/>
      <c r="O502" s="47"/>
      <c r="P502" s="47"/>
      <c r="Q502" s="47"/>
      <c r="R502" s="46"/>
      <c r="S502" s="25">
        <f t="shared" si="19"/>
        <v>0</v>
      </c>
      <c r="T502" s="25">
        <f>COUNTIF($V$4:V502,V502)</f>
        <v>313</v>
      </c>
      <c r="U502" s="25" t="str">
        <f>IF(T502=1,COUNTIF($T$4:T502,1),"")</f>
        <v/>
      </c>
      <c r="V502" s="26" t="str">
        <f>'施設状況(要更新)'!$E502&amp;'施設状況(要更新)'!$C502</f>
        <v/>
      </c>
      <c r="W502" s="26">
        <f>'施設状況(要更新)'!$F502</f>
        <v>0</v>
      </c>
      <c r="X502" s="27"/>
      <c r="Y502" s="26"/>
    </row>
    <row r="503" spans="1:25" s="10" customFormat="1" ht="11.25">
      <c r="A503" s="45"/>
      <c r="B503" s="50"/>
      <c r="C503" s="46"/>
      <c r="D503" s="46"/>
      <c r="E503" s="46"/>
      <c r="F503" s="47"/>
      <c r="G503" s="47"/>
      <c r="H503" s="47"/>
      <c r="I503" s="47"/>
      <c r="J503" s="47"/>
      <c r="K503" s="47"/>
      <c r="L503" s="47"/>
      <c r="M503" s="47"/>
      <c r="N503" s="47"/>
      <c r="O503" s="47"/>
      <c r="P503" s="47"/>
      <c r="Q503" s="47"/>
      <c r="R503" s="46"/>
      <c r="S503" s="25">
        <f t="shared" si="19"/>
        <v>0</v>
      </c>
      <c r="T503" s="25">
        <f>COUNTIF($V$4:V503,V503)</f>
        <v>314</v>
      </c>
      <c r="U503" s="25" t="str">
        <f>IF(T503=1,COUNTIF($T$4:T503,1),"")</f>
        <v/>
      </c>
      <c r="V503" s="26" t="str">
        <f>'施設状況(要更新)'!$E503&amp;'施設状況(要更新)'!$C503</f>
        <v/>
      </c>
      <c r="W503" s="26">
        <f>'施設状況(要更新)'!$F503</f>
        <v>0</v>
      </c>
      <c r="X503" s="27"/>
      <c r="Y503" s="26"/>
    </row>
    <row r="504" spans="1:25" s="10" customFormat="1" ht="11.25">
      <c r="A504" s="45"/>
      <c r="B504" s="50"/>
      <c r="C504" s="46"/>
      <c r="D504" s="46"/>
      <c r="E504" s="46"/>
      <c r="F504" s="47"/>
      <c r="G504" s="47"/>
      <c r="H504" s="47"/>
      <c r="I504" s="47"/>
      <c r="J504" s="47"/>
      <c r="K504" s="47"/>
      <c r="L504" s="47"/>
      <c r="M504" s="47"/>
      <c r="N504" s="47"/>
      <c r="O504" s="47"/>
      <c r="P504" s="47"/>
      <c r="Q504" s="47"/>
      <c r="R504" s="46"/>
      <c r="S504" s="25">
        <f t="shared" si="19"/>
        <v>0</v>
      </c>
      <c r="T504" s="25">
        <f>COUNTIF($V$4:V504,V504)</f>
        <v>315</v>
      </c>
      <c r="U504" s="25" t="str">
        <f>IF(T504=1,COUNTIF($T$4:T504,1),"")</f>
        <v/>
      </c>
      <c r="V504" s="26" t="str">
        <f>'施設状況(要更新)'!$E504&amp;'施設状況(要更新)'!$C504</f>
        <v/>
      </c>
      <c r="W504" s="26">
        <f>'施設状況(要更新)'!$F504</f>
        <v>0</v>
      </c>
      <c r="X504" s="27"/>
      <c r="Y504" s="26"/>
    </row>
    <row r="505" spans="1:25" s="10" customFormat="1" ht="11.25">
      <c r="A505" s="45"/>
      <c r="B505" s="50"/>
      <c r="C505" s="46"/>
      <c r="D505" s="46"/>
      <c r="E505" s="46"/>
      <c r="F505" s="47"/>
      <c r="G505" s="47"/>
      <c r="H505" s="47"/>
      <c r="I505" s="47"/>
      <c r="J505" s="47"/>
      <c r="K505" s="47"/>
      <c r="L505" s="47"/>
      <c r="M505" s="47"/>
      <c r="N505" s="47"/>
      <c r="O505" s="47"/>
      <c r="P505" s="47"/>
      <c r="Q505" s="47"/>
      <c r="R505" s="46"/>
      <c r="S505" s="25">
        <f t="shared" si="19"/>
        <v>0</v>
      </c>
      <c r="T505" s="25">
        <f>COUNTIF($V$4:V505,V505)</f>
        <v>316</v>
      </c>
      <c r="U505" s="25" t="str">
        <f>IF(T505=1,COUNTIF($T$4:T505,1),"")</f>
        <v/>
      </c>
      <c r="V505" s="26" t="str">
        <f>'施設状況(要更新)'!$E505&amp;'施設状況(要更新)'!$C505</f>
        <v/>
      </c>
      <c r="W505" s="26">
        <f>'施設状況(要更新)'!$F505</f>
        <v>0</v>
      </c>
      <c r="X505" s="27"/>
      <c r="Y505" s="26"/>
    </row>
    <row r="506" spans="1:25" s="10" customFormat="1" ht="11.25">
      <c r="A506" s="45"/>
      <c r="B506" s="50"/>
      <c r="C506" s="46"/>
      <c r="D506" s="46"/>
      <c r="E506" s="46"/>
      <c r="F506" s="47"/>
      <c r="G506" s="47"/>
      <c r="H506" s="47"/>
      <c r="I506" s="47"/>
      <c r="J506" s="47"/>
      <c r="K506" s="47"/>
      <c r="L506" s="47"/>
      <c r="M506" s="47"/>
      <c r="N506" s="47"/>
      <c r="O506" s="47"/>
      <c r="P506" s="47"/>
      <c r="Q506" s="47"/>
      <c r="R506" s="46"/>
      <c r="S506" s="25">
        <f t="shared" si="19"/>
        <v>0</v>
      </c>
      <c r="T506" s="25">
        <f>COUNTIF($V$4:V506,V506)</f>
        <v>317</v>
      </c>
      <c r="U506" s="25" t="str">
        <f>IF(T506=1,COUNTIF($T$4:T506,1),"")</f>
        <v/>
      </c>
      <c r="V506" s="26" t="str">
        <f>'施設状況(要更新)'!$E506&amp;'施設状況(要更新)'!$C506</f>
        <v/>
      </c>
      <c r="W506" s="26">
        <f>'施設状況(要更新)'!$F506</f>
        <v>0</v>
      </c>
      <c r="X506" s="27"/>
      <c r="Y506" s="26"/>
    </row>
    <row r="507" spans="1:25" s="10" customFormat="1" ht="11.25">
      <c r="A507" s="45"/>
      <c r="B507" s="50"/>
      <c r="C507" s="46"/>
      <c r="D507" s="46"/>
      <c r="E507" s="46"/>
      <c r="F507" s="47"/>
      <c r="G507" s="47"/>
      <c r="H507" s="47"/>
      <c r="I507" s="47"/>
      <c r="J507" s="47"/>
      <c r="K507" s="47"/>
      <c r="L507" s="47"/>
      <c r="M507" s="47"/>
      <c r="N507" s="47"/>
      <c r="O507" s="47"/>
      <c r="P507" s="47"/>
      <c r="Q507" s="47"/>
      <c r="R507" s="46"/>
      <c r="S507" s="25">
        <f t="shared" si="19"/>
        <v>0</v>
      </c>
      <c r="T507" s="25">
        <f>COUNTIF($V$4:V507,V507)</f>
        <v>318</v>
      </c>
      <c r="U507" s="25" t="str">
        <f>IF(T507=1,COUNTIF($T$4:T507,1),"")</f>
        <v/>
      </c>
      <c r="V507" s="26" t="str">
        <f>'施設状況(要更新)'!$E507&amp;'施設状況(要更新)'!$C507</f>
        <v/>
      </c>
      <c r="W507" s="26">
        <f>'施設状況(要更新)'!$F507</f>
        <v>0</v>
      </c>
      <c r="X507" s="27"/>
      <c r="Y507" s="26"/>
    </row>
    <row r="508" spans="1:25" s="10" customFormat="1" ht="11.25">
      <c r="A508" s="45"/>
      <c r="B508" s="50"/>
      <c r="C508" s="46"/>
      <c r="D508" s="46"/>
      <c r="E508" s="46"/>
      <c r="F508" s="47"/>
      <c r="G508" s="47"/>
      <c r="H508" s="47"/>
      <c r="I508" s="47"/>
      <c r="J508" s="47"/>
      <c r="K508" s="47"/>
      <c r="L508" s="47"/>
      <c r="M508" s="47"/>
      <c r="N508" s="47"/>
      <c r="O508" s="47"/>
      <c r="P508" s="47"/>
      <c r="Q508" s="47"/>
      <c r="R508" s="46"/>
      <c r="S508" s="25">
        <f t="shared" si="19"/>
        <v>0</v>
      </c>
      <c r="T508" s="25">
        <f>COUNTIF($V$4:V508,V508)</f>
        <v>319</v>
      </c>
      <c r="U508" s="25" t="str">
        <f>IF(T508=1,COUNTIF($T$4:T508,1),"")</f>
        <v/>
      </c>
      <c r="V508" s="26" t="str">
        <f>'施設状況(要更新)'!$E508&amp;'施設状況(要更新)'!$C508</f>
        <v/>
      </c>
      <c r="W508" s="26">
        <f>'施設状況(要更新)'!$F508</f>
        <v>0</v>
      </c>
      <c r="X508" s="27"/>
      <c r="Y508" s="26"/>
    </row>
    <row r="509" spans="1:25" s="10" customFormat="1" ht="11.25">
      <c r="A509" s="45"/>
      <c r="B509" s="50"/>
      <c r="C509" s="46"/>
      <c r="D509" s="46"/>
      <c r="E509" s="46"/>
      <c r="F509" s="47"/>
      <c r="G509" s="47"/>
      <c r="H509" s="47"/>
      <c r="I509" s="47"/>
      <c r="J509" s="47"/>
      <c r="K509" s="47"/>
      <c r="L509" s="47"/>
      <c r="M509" s="47"/>
      <c r="N509" s="47"/>
      <c r="O509" s="47"/>
      <c r="P509" s="47"/>
      <c r="Q509" s="47"/>
      <c r="R509" s="46"/>
      <c r="S509" s="25">
        <f t="shared" si="19"/>
        <v>0</v>
      </c>
      <c r="T509" s="25">
        <f>COUNTIF($V$4:V509,V509)</f>
        <v>320</v>
      </c>
      <c r="U509" s="25" t="str">
        <f>IF(T509=1,COUNTIF($T$4:T509,1),"")</f>
        <v/>
      </c>
      <c r="V509" s="26" t="str">
        <f>'施設状況(要更新)'!$E509&amp;'施設状況(要更新)'!$C509</f>
        <v/>
      </c>
      <c r="W509" s="26">
        <f>'施設状況(要更新)'!$F509</f>
        <v>0</v>
      </c>
      <c r="X509" s="27"/>
      <c r="Y509" s="26"/>
    </row>
    <row r="510" spans="1:25" s="10" customFormat="1" ht="11.25">
      <c r="A510" s="45"/>
      <c r="B510" s="50"/>
      <c r="C510" s="46"/>
      <c r="D510" s="46"/>
      <c r="E510" s="46"/>
      <c r="F510" s="47"/>
      <c r="G510" s="47"/>
      <c r="H510" s="47"/>
      <c r="I510" s="47"/>
      <c r="J510" s="47"/>
      <c r="K510" s="47"/>
      <c r="L510" s="47"/>
      <c r="M510" s="47"/>
      <c r="N510" s="47"/>
      <c r="O510" s="47"/>
      <c r="P510" s="47"/>
      <c r="Q510" s="47"/>
      <c r="R510" s="46"/>
      <c r="S510" s="25">
        <f t="shared" si="19"/>
        <v>0</v>
      </c>
      <c r="T510" s="25">
        <f>COUNTIF($V$4:V510,V510)</f>
        <v>321</v>
      </c>
      <c r="U510" s="25" t="str">
        <f>IF(T510=1,COUNTIF($T$4:T510,1),"")</f>
        <v/>
      </c>
      <c r="V510" s="26" t="str">
        <f>'施設状況(要更新)'!$E510&amp;'施設状況(要更新)'!$C510</f>
        <v/>
      </c>
      <c r="W510" s="26">
        <f>'施設状況(要更新)'!$F510</f>
        <v>0</v>
      </c>
      <c r="X510" s="27"/>
      <c r="Y510" s="26"/>
    </row>
    <row r="511" spans="1:25" s="10" customFormat="1" ht="11.25">
      <c r="A511" s="45"/>
      <c r="B511" s="50"/>
      <c r="C511" s="46"/>
      <c r="D511" s="46"/>
      <c r="E511" s="46"/>
      <c r="F511" s="47"/>
      <c r="G511" s="47"/>
      <c r="H511" s="47"/>
      <c r="I511" s="47"/>
      <c r="J511" s="47"/>
      <c r="K511" s="47"/>
      <c r="L511" s="47"/>
      <c r="M511" s="47"/>
      <c r="N511" s="47"/>
      <c r="O511" s="47"/>
      <c r="P511" s="47"/>
      <c r="Q511" s="47"/>
      <c r="R511" s="46"/>
      <c r="S511" s="25">
        <f t="shared" si="19"/>
        <v>0</v>
      </c>
      <c r="T511" s="25">
        <f>COUNTIF($V$4:V511,V511)</f>
        <v>322</v>
      </c>
      <c r="U511" s="25" t="str">
        <f>IF(T511=1,COUNTIF($T$4:T511,1),"")</f>
        <v/>
      </c>
      <c r="V511" s="26" t="str">
        <f>'施設状況(要更新)'!$E511&amp;'施設状況(要更新)'!$C511</f>
        <v/>
      </c>
      <c r="W511" s="26">
        <f>'施設状況(要更新)'!$F511</f>
        <v>0</v>
      </c>
      <c r="X511" s="27"/>
      <c r="Y511" s="26"/>
    </row>
    <row r="512" spans="1:25" s="10" customFormat="1" ht="11.25">
      <c r="A512" s="45"/>
      <c r="B512" s="50"/>
      <c r="C512" s="46"/>
      <c r="D512" s="46"/>
      <c r="E512" s="46"/>
      <c r="F512" s="47"/>
      <c r="G512" s="47"/>
      <c r="H512" s="47"/>
      <c r="I512" s="47"/>
      <c r="J512" s="47"/>
      <c r="K512" s="47"/>
      <c r="L512" s="47"/>
      <c r="M512" s="47"/>
      <c r="N512" s="47"/>
      <c r="O512" s="47"/>
      <c r="P512" s="47"/>
      <c r="Q512" s="47"/>
      <c r="R512" s="46"/>
      <c r="S512" s="25">
        <f t="shared" si="19"/>
        <v>0</v>
      </c>
      <c r="T512" s="25">
        <f>COUNTIF($V$4:V512,V512)</f>
        <v>323</v>
      </c>
      <c r="U512" s="25" t="str">
        <f>IF(T512=1,COUNTIF($T$4:T512,1),"")</f>
        <v/>
      </c>
      <c r="V512" s="26" t="str">
        <f>'施設状況(要更新)'!$E512&amp;'施設状況(要更新)'!$C512</f>
        <v/>
      </c>
      <c r="W512" s="26">
        <f>'施設状況(要更新)'!$F512</f>
        <v>0</v>
      </c>
      <c r="X512" s="27"/>
      <c r="Y512" s="26"/>
    </row>
    <row r="513" spans="1:25" s="10" customFormat="1" ht="11.25">
      <c r="A513" s="45"/>
      <c r="B513" s="50"/>
      <c r="C513" s="46"/>
      <c r="D513" s="46"/>
      <c r="E513" s="46"/>
      <c r="F513" s="47"/>
      <c r="G513" s="47"/>
      <c r="H513" s="47"/>
      <c r="I513" s="47"/>
      <c r="J513" s="47"/>
      <c r="K513" s="47"/>
      <c r="L513" s="47"/>
      <c r="M513" s="47"/>
      <c r="N513" s="47"/>
      <c r="O513" s="47"/>
      <c r="P513" s="47"/>
      <c r="Q513" s="47"/>
      <c r="R513" s="46"/>
      <c r="S513" s="25">
        <f t="shared" si="19"/>
        <v>0</v>
      </c>
      <c r="T513" s="25">
        <f>COUNTIF($V$4:V513,V513)</f>
        <v>324</v>
      </c>
      <c r="U513" s="25" t="str">
        <f>IF(T513=1,COUNTIF($T$4:T513,1),"")</f>
        <v/>
      </c>
      <c r="V513" s="26" t="str">
        <f>'施設状況(要更新)'!$E513&amp;'施設状況(要更新)'!$C513</f>
        <v/>
      </c>
      <c r="W513" s="26">
        <f>'施設状況(要更新)'!$F513</f>
        <v>0</v>
      </c>
      <c r="X513" s="27"/>
      <c r="Y513" s="26"/>
    </row>
    <row r="514" spans="1:25" s="10" customFormat="1" ht="11.25">
      <c r="A514" s="45"/>
      <c r="B514" s="50"/>
      <c r="C514" s="46"/>
      <c r="D514" s="46"/>
      <c r="E514" s="46"/>
      <c r="F514" s="47"/>
      <c r="G514" s="47"/>
      <c r="H514" s="47"/>
      <c r="I514" s="47"/>
      <c r="J514" s="47"/>
      <c r="K514" s="47"/>
      <c r="L514" s="47"/>
      <c r="M514" s="47"/>
      <c r="N514" s="47"/>
      <c r="O514" s="47"/>
      <c r="P514" s="47"/>
      <c r="Q514" s="47"/>
      <c r="R514" s="46"/>
      <c r="S514" s="25">
        <f t="shared" si="19"/>
        <v>0</v>
      </c>
      <c r="T514" s="25">
        <f>COUNTIF($V$4:V514,V514)</f>
        <v>325</v>
      </c>
      <c r="U514" s="25" t="str">
        <f>IF(T514=1,COUNTIF($T$4:T514,1),"")</f>
        <v/>
      </c>
      <c r="V514" s="26" t="str">
        <f>'施設状況(要更新)'!$E514&amp;'施設状況(要更新)'!$C514</f>
        <v/>
      </c>
      <c r="W514" s="26">
        <f>'施設状況(要更新)'!$F514</f>
        <v>0</v>
      </c>
      <c r="X514" s="27"/>
      <c r="Y514" s="26"/>
    </row>
    <row r="515" spans="1:25" s="10" customFormat="1" ht="11.25">
      <c r="A515" s="45"/>
      <c r="B515" s="50"/>
      <c r="C515" s="46"/>
      <c r="D515" s="46"/>
      <c r="E515" s="46"/>
      <c r="F515" s="47"/>
      <c r="G515" s="47"/>
      <c r="H515" s="47"/>
      <c r="I515" s="47"/>
      <c r="J515" s="47"/>
      <c r="K515" s="47"/>
      <c r="L515" s="47"/>
      <c r="M515" s="47"/>
      <c r="N515" s="47"/>
      <c r="O515" s="47"/>
      <c r="P515" s="47"/>
      <c r="Q515" s="47"/>
      <c r="R515" s="46"/>
      <c r="S515" s="25">
        <f t="shared" si="19"/>
        <v>0</v>
      </c>
      <c r="T515" s="25">
        <f>COUNTIF($V$4:V515,V515)</f>
        <v>326</v>
      </c>
      <c r="U515" s="25" t="str">
        <f>IF(T515=1,COUNTIF($T$4:T515,1),"")</f>
        <v/>
      </c>
      <c r="V515" s="26" t="str">
        <f>'施設状況(要更新)'!$E515&amp;'施設状況(要更新)'!$C515</f>
        <v/>
      </c>
      <c r="W515" s="26">
        <f>'施設状況(要更新)'!$F515</f>
        <v>0</v>
      </c>
      <c r="X515" s="27"/>
      <c r="Y515" s="26"/>
    </row>
    <row r="516" spans="1:25" s="10" customFormat="1" ht="11.25">
      <c r="A516" s="45"/>
      <c r="B516" s="50"/>
      <c r="C516" s="46"/>
      <c r="D516" s="46"/>
      <c r="E516" s="46"/>
      <c r="F516" s="47"/>
      <c r="G516" s="47"/>
      <c r="H516" s="47"/>
      <c r="I516" s="47"/>
      <c r="J516" s="47"/>
      <c r="K516" s="47"/>
      <c r="L516" s="47"/>
      <c r="M516" s="47"/>
      <c r="N516" s="47"/>
      <c r="O516" s="47"/>
      <c r="P516" s="47"/>
      <c r="Q516" s="47"/>
      <c r="R516" s="46"/>
      <c r="S516" s="25">
        <f t="shared" si="19"/>
        <v>0</v>
      </c>
      <c r="T516" s="25">
        <f>COUNTIF($V$4:V516,V516)</f>
        <v>327</v>
      </c>
      <c r="U516" s="25" t="str">
        <f>IF(T516=1,COUNTIF($T$4:T516,1),"")</f>
        <v/>
      </c>
      <c r="V516" s="26" t="str">
        <f>'施設状況(要更新)'!$E516&amp;'施設状況(要更新)'!$C516</f>
        <v/>
      </c>
      <c r="W516" s="26">
        <f>'施設状況(要更新)'!$F516</f>
        <v>0</v>
      </c>
      <c r="X516" s="27"/>
      <c r="Y516" s="26"/>
    </row>
    <row r="517" spans="1:25" s="10" customFormat="1" ht="11.25">
      <c r="A517" s="45"/>
      <c r="B517" s="50"/>
      <c r="C517" s="46"/>
      <c r="D517" s="46"/>
      <c r="E517" s="46"/>
      <c r="F517" s="47"/>
      <c r="G517" s="47"/>
      <c r="H517" s="47"/>
      <c r="I517" s="47"/>
      <c r="J517" s="47"/>
      <c r="K517" s="47"/>
      <c r="L517" s="47"/>
      <c r="M517" s="47"/>
      <c r="N517" s="47"/>
      <c r="O517" s="47"/>
      <c r="P517" s="47"/>
      <c r="Q517" s="47"/>
      <c r="R517" s="46"/>
      <c r="S517" s="25">
        <f t="shared" si="19"/>
        <v>0</v>
      </c>
      <c r="T517" s="25">
        <f>COUNTIF($V$4:V517,V517)</f>
        <v>328</v>
      </c>
      <c r="U517" s="25" t="str">
        <f>IF(T517=1,COUNTIF($T$4:T517,1),"")</f>
        <v/>
      </c>
      <c r="V517" s="26" t="str">
        <f>'施設状況(要更新)'!$E517&amp;'施設状況(要更新)'!$C517</f>
        <v/>
      </c>
      <c r="W517" s="26">
        <f>'施設状況(要更新)'!$F517</f>
        <v>0</v>
      </c>
      <c r="X517" s="27"/>
      <c r="Y517" s="26"/>
    </row>
    <row r="518" spans="1:25" s="10" customFormat="1" ht="11.25">
      <c r="A518" s="45"/>
      <c r="B518" s="50"/>
      <c r="C518" s="46"/>
      <c r="D518" s="46"/>
      <c r="E518" s="46"/>
      <c r="F518" s="47"/>
      <c r="G518" s="47"/>
      <c r="H518" s="47"/>
      <c r="I518" s="47"/>
      <c r="J518" s="47"/>
      <c r="K518" s="47"/>
      <c r="L518" s="47"/>
      <c r="M518" s="47"/>
      <c r="N518" s="47"/>
      <c r="O518" s="47"/>
      <c r="P518" s="47"/>
      <c r="Q518" s="47"/>
      <c r="R518" s="46"/>
      <c r="S518" s="25">
        <f t="shared" si="19"/>
        <v>0</v>
      </c>
      <c r="T518" s="25">
        <f>COUNTIF($V$4:V518,V518)</f>
        <v>329</v>
      </c>
      <c r="U518" s="25" t="str">
        <f>IF(T518=1,COUNTIF($T$4:T518,1),"")</f>
        <v/>
      </c>
      <c r="V518" s="26" t="str">
        <f>'施設状況(要更新)'!$E518&amp;'施設状況(要更新)'!$C518</f>
        <v/>
      </c>
      <c r="W518" s="26">
        <f>'施設状況(要更新)'!$F518</f>
        <v>0</v>
      </c>
      <c r="X518" s="27"/>
      <c r="Y518" s="26"/>
    </row>
    <row r="519" spans="1:25" s="10" customFormat="1" ht="11.25">
      <c r="A519" s="45"/>
      <c r="B519" s="50"/>
      <c r="C519" s="46"/>
      <c r="D519" s="46"/>
      <c r="E519" s="46"/>
      <c r="F519" s="47"/>
      <c r="G519" s="47"/>
      <c r="H519" s="47"/>
      <c r="I519" s="47"/>
      <c r="J519" s="47"/>
      <c r="K519" s="47"/>
      <c r="L519" s="47"/>
      <c r="M519" s="47"/>
      <c r="N519" s="47"/>
      <c r="O519" s="47"/>
      <c r="P519" s="47"/>
      <c r="Q519" s="47"/>
      <c r="R519" s="46"/>
      <c r="S519" s="25">
        <f t="shared" si="19"/>
        <v>0</v>
      </c>
      <c r="T519" s="25">
        <f>COUNTIF($V$4:V519,V519)</f>
        <v>330</v>
      </c>
      <c r="U519" s="25" t="str">
        <f>IF(T519=1,COUNTIF($T$4:T519,1),"")</f>
        <v/>
      </c>
      <c r="V519" s="26" t="str">
        <f>'施設状況(要更新)'!$E519&amp;'施設状況(要更新)'!$C519</f>
        <v/>
      </c>
      <c r="W519" s="26">
        <f>'施設状況(要更新)'!$F519</f>
        <v>0</v>
      </c>
      <c r="X519" s="27"/>
      <c r="Y519" s="26"/>
    </row>
    <row r="520" spans="1:25" s="10" customFormat="1" ht="11.25">
      <c r="A520" s="45"/>
      <c r="B520" s="50"/>
      <c r="C520" s="46"/>
      <c r="D520" s="46"/>
      <c r="E520" s="46"/>
      <c r="F520" s="47"/>
      <c r="G520" s="47"/>
      <c r="H520" s="47"/>
      <c r="I520" s="47"/>
      <c r="J520" s="47"/>
      <c r="K520" s="47"/>
      <c r="L520" s="47"/>
      <c r="M520" s="47"/>
      <c r="N520" s="47"/>
      <c r="O520" s="47"/>
      <c r="P520" s="47"/>
      <c r="Q520" s="47"/>
      <c r="R520" s="46"/>
      <c r="S520" s="25">
        <f t="shared" si="19"/>
        <v>0</v>
      </c>
      <c r="T520" s="25">
        <f>COUNTIF($V$4:V520,V520)</f>
        <v>331</v>
      </c>
      <c r="U520" s="25" t="str">
        <f>IF(T520=1,COUNTIF($T$4:T520,1),"")</f>
        <v/>
      </c>
      <c r="V520" s="26" t="str">
        <f>'施設状況(要更新)'!$E520&amp;'施設状況(要更新)'!$C520</f>
        <v/>
      </c>
      <c r="W520" s="26">
        <f>'施設状況(要更新)'!$F520</f>
        <v>0</v>
      </c>
      <c r="X520" s="27"/>
      <c r="Y520" s="26"/>
    </row>
    <row r="521" spans="1:25" s="10" customFormat="1" ht="11.25">
      <c r="A521" s="45"/>
      <c r="B521" s="50"/>
      <c r="C521" s="46"/>
      <c r="D521" s="46"/>
      <c r="E521" s="46"/>
      <c r="F521" s="47"/>
      <c r="G521" s="47"/>
      <c r="H521" s="47"/>
      <c r="I521" s="47"/>
      <c r="J521" s="47"/>
      <c r="K521" s="47"/>
      <c r="L521" s="47"/>
      <c r="M521" s="47"/>
      <c r="N521" s="47"/>
      <c r="O521" s="47"/>
      <c r="P521" s="47"/>
      <c r="Q521" s="47"/>
      <c r="R521" s="46"/>
      <c r="S521" s="25">
        <f t="shared" si="19"/>
        <v>0</v>
      </c>
      <c r="T521" s="25">
        <f>COUNTIF($V$4:V521,V521)</f>
        <v>332</v>
      </c>
      <c r="U521" s="25" t="str">
        <f>IF(T521=1,COUNTIF($T$4:T521,1),"")</f>
        <v/>
      </c>
      <c r="V521" s="26" t="str">
        <f>'施設状況(要更新)'!$E521&amp;'施設状況(要更新)'!$C521</f>
        <v/>
      </c>
      <c r="W521" s="26">
        <f>'施設状況(要更新)'!$F521</f>
        <v>0</v>
      </c>
      <c r="X521" s="27"/>
      <c r="Y521" s="26"/>
    </row>
    <row r="522" spans="1:25" s="10" customFormat="1" ht="11.25">
      <c r="A522" s="45"/>
      <c r="B522" s="50"/>
      <c r="C522" s="46"/>
      <c r="D522" s="46"/>
      <c r="E522" s="46"/>
      <c r="F522" s="47"/>
      <c r="G522" s="47"/>
      <c r="H522" s="47"/>
      <c r="I522" s="47"/>
      <c r="J522" s="47"/>
      <c r="K522" s="47"/>
      <c r="L522" s="47"/>
      <c r="M522" s="47"/>
      <c r="N522" s="47"/>
      <c r="O522" s="47"/>
      <c r="P522" s="47"/>
      <c r="Q522" s="47"/>
      <c r="R522" s="46"/>
      <c r="S522" s="25">
        <f t="shared" si="19"/>
        <v>0</v>
      </c>
      <c r="T522" s="25">
        <f>COUNTIF($V$4:V522,V522)</f>
        <v>333</v>
      </c>
      <c r="U522" s="25" t="str">
        <f>IF(T522=1,COUNTIF($T$4:T522,1),"")</f>
        <v/>
      </c>
      <c r="V522" s="26" t="str">
        <f>'施設状況(要更新)'!$E522&amp;'施設状況(要更新)'!$C522</f>
        <v/>
      </c>
      <c r="W522" s="26">
        <f>'施設状況(要更新)'!$F522</f>
        <v>0</v>
      </c>
      <c r="X522" s="27"/>
      <c r="Y522" s="26"/>
    </row>
    <row r="523" spans="1:25" s="10" customFormat="1" ht="11.25">
      <c r="A523" s="45"/>
      <c r="B523" s="50"/>
      <c r="C523" s="46"/>
      <c r="D523" s="46"/>
      <c r="E523" s="46"/>
      <c r="F523" s="47"/>
      <c r="G523" s="47"/>
      <c r="H523" s="47"/>
      <c r="I523" s="47"/>
      <c r="J523" s="47"/>
      <c r="K523" s="47"/>
      <c r="L523" s="47"/>
      <c r="M523" s="47"/>
      <c r="N523" s="47"/>
      <c r="O523" s="47"/>
      <c r="P523" s="47"/>
      <c r="Q523" s="47"/>
      <c r="R523" s="46"/>
      <c r="S523" s="25">
        <f t="shared" si="19"/>
        <v>0</v>
      </c>
      <c r="T523" s="25">
        <f>COUNTIF($V$4:V523,V523)</f>
        <v>334</v>
      </c>
      <c r="U523" s="25" t="str">
        <f>IF(T523=1,COUNTIF($T$4:T523,1),"")</f>
        <v/>
      </c>
      <c r="V523" s="26" t="str">
        <f>'施設状況(要更新)'!$E523&amp;'施設状況(要更新)'!$C523</f>
        <v/>
      </c>
      <c r="W523" s="26">
        <f>'施設状況(要更新)'!$F523</f>
        <v>0</v>
      </c>
      <c r="X523" s="27"/>
      <c r="Y523" s="26"/>
    </row>
    <row r="524" spans="1:25" s="10" customFormat="1" ht="11.25">
      <c r="A524" s="45"/>
      <c r="B524" s="50"/>
      <c r="C524" s="46"/>
      <c r="D524" s="46"/>
      <c r="E524" s="46"/>
      <c r="F524" s="47"/>
      <c r="G524" s="47"/>
      <c r="H524" s="47"/>
      <c r="I524" s="47"/>
      <c r="J524" s="49"/>
      <c r="K524" s="49"/>
      <c r="L524" s="49"/>
      <c r="M524" s="49"/>
      <c r="N524" s="49"/>
      <c r="O524" s="49"/>
      <c r="P524" s="49"/>
      <c r="Q524" s="49"/>
      <c r="R524" s="34"/>
      <c r="S524" s="25">
        <f t="shared" si="19"/>
        <v>0</v>
      </c>
      <c r="T524" s="25">
        <f>COUNTIF($V$4:V524,V524)</f>
        <v>335</v>
      </c>
      <c r="U524" s="25" t="str">
        <f>IF(T524=1,COUNTIF($T$4:T524,1),"")</f>
        <v/>
      </c>
      <c r="V524" s="26" t="str">
        <f>'施設状況(要更新)'!$E524&amp;'施設状況(要更新)'!$C524</f>
        <v/>
      </c>
      <c r="W524" s="26">
        <f>'施設状況(要更新)'!$F524</f>
        <v>0</v>
      </c>
      <c r="X524" s="27"/>
      <c r="Y524" s="26"/>
    </row>
    <row r="525" spans="1:25" s="10" customFormat="1" ht="11.25">
      <c r="A525" s="45"/>
      <c r="B525" s="50"/>
      <c r="C525" s="46"/>
      <c r="D525" s="46"/>
      <c r="E525" s="46"/>
      <c r="F525" s="47"/>
      <c r="G525" s="47"/>
      <c r="H525" s="47"/>
      <c r="I525" s="47"/>
      <c r="J525" s="47"/>
      <c r="K525" s="47"/>
      <c r="L525" s="47"/>
      <c r="M525" s="47"/>
      <c r="N525" s="47"/>
      <c r="O525" s="47"/>
      <c r="P525" s="47"/>
      <c r="Q525" s="47"/>
      <c r="R525" s="46"/>
      <c r="S525" s="25">
        <f t="shared" si="19"/>
        <v>0</v>
      </c>
      <c r="T525" s="25">
        <f>COUNTIF($V$4:V525,V525)</f>
        <v>336</v>
      </c>
      <c r="U525" s="25" t="str">
        <f>IF(T525=1,COUNTIF($T$4:T525,1),"")</f>
        <v/>
      </c>
      <c r="V525" s="26" t="str">
        <f>'施設状況(要更新)'!$E525&amp;'施設状況(要更新)'!$C525</f>
        <v/>
      </c>
      <c r="W525" s="26">
        <f>'施設状況(要更新)'!$F525</f>
        <v>0</v>
      </c>
      <c r="X525" s="27"/>
      <c r="Y525" s="26"/>
    </row>
    <row r="526" spans="1:25" s="10" customFormat="1" ht="11.25">
      <c r="A526" s="45"/>
      <c r="B526" s="50"/>
      <c r="C526" s="46"/>
      <c r="D526" s="46"/>
      <c r="E526" s="46"/>
      <c r="F526" s="47"/>
      <c r="G526" s="47"/>
      <c r="H526" s="47"/>
      <c r="I526" s="47"/>
      <c r="J526" s="47"/>
      <c r="K526" s="47"/>
      <c r="L526" s="47"/>
      <c r="M526" s="47"/>
      <c r="N526" s="47"/>
      <c r="O526" s="47"/>
      <c r="P526" s="47"/>
      <c r="Q526" s="47"/>
      <c r="R526" s="46"/>
      <c r="S526" s="25">
        <f t="shared" si="19"/>
        <v>0</v>
      </c>
      <c r="T526" s="25">
        <f>COUNTIF($V$4:V526,V526)</f>
        <v>337</v>
      </c>
      <c r="U526" s="25" t="str">
        <f>IF(T526=1,COUNTIF($T$4:T526,1),"")</f>
        <v/>
      </c>
      <c r="V526" s="26" t="str">
        <f>'施設状況(要更新)'!$E526&amp;'施設状況(要更新)'!$C526</f>
        <v/>
      </c>
      <c r="W526" s="26">
        <f>'施設状況(要更新)'!$F526</f>
        <v>0</v>
      </c>
      <c r="X526" s="27"/>
      <c r="Y526" s="26"/>
    </row>
    <row r="527" spans="1:25" s="10" customFormat="1" ht="11.25">
      <c r="A527" s="45"/>
      <c r="B527" s="50"/>
      <c r="C527" s="46"/>
      <c r="D527" s="46"/>
      <c r="E527" s="46"/>
      <c r="F527" s="47"/>
      <c r="G527" s="47"/>
      <c r="H527" s="47"/>
      <c r="I527" s="47"/>
      <c r="J527" s="47"/>
      <c r="K527" s="47"/>
      <c r="L527" s="47"/>
      <c r="M527" s="47"/>
      <c r="N527" s="47"/>
      <c r="O527" s="47"/>
      <c r="P527" s="47"/>
      <c r="Q527" s="47"/>
      <c r="R527" s="46"/>
      <c r="S527" s="25">
        <f t="shared" si="19"/>
        <v>0</v>
      </c>
      <c r="T527" s="25">
        <f>COUNTIF($V$4:V527,V527)</f>
        <v>338</v>
      </c>
      <c r="U527" s="25" t="str">
        <f>IF(T527=1,COUNTIF($T$4:T527,1),"")</f>
        <v/>
      </c>
      <c r="V527" s="26" t="str">
        <f>'施設状況(要更新)'!$E527&amp;'施設状況(要更新)'!$C527</f>
        <v/>
      </c>
      <c r="W527" s="26">
        <f>'施設状況(要更新)'!$F527</f>
        <v>0</v>
      </c>
      <c r="X527" s="27"/>
      <c r="Y527" s="26"/>
    </row>
    <row r="528" spans="1:25" s="10" customFormat="1" ht="11.25">
      <c r="A528" s="45"/>
      <c r="B528" s="50"/>
      <c r="C528" s="46"/>
      <c r="D528" s="46"/>
      <c r="E528" s="46"/>
      <c r="F528" s="47"/>
      <c r="G528" s="47"/>
      <c r="H528" s="47"/>
      <c r="I528" s="47"/>
      <c r="J528" s="47"/>
      <c r="K528" s="47"/>
      <c r="L528" s="47"/>
      <c r="M528" s="47"/>
      <c r="N528" s="47"/>
      <c r="O528" s="47"/>
      <c r="P528" s="47"/>
      <c r="Q528" s="47"/>
      <c r="R528" s="46"/>
      <c r="S528" s="25">
        <f t="shared" si="19"/>
        <v>0</v>
      </c>
      <c r="T528" s="25">
        <f>COUNTIF($V$4:V528,V528)</f>
        <v>339</v>
      </c>
      <c r="U528" s="25" t="str">
        <f>IF(T528=1,COUNTIF($T$4:T528,1),"")</f>
        <v/>
      </c>
      <c r="V528" s="26" t="str">
        <f>'施設状況(要更新)'!$E528&amp;'施設状況(要更新)'!$C528</f>
        <v/>
      </c>
      <c r="W528" s="26">
        <f>'施設状況(要更新)'!$F528</f>
        <v>0</v>
      </c>
      <c r="X528" s="27"/>
      <c r="Y528" s="26"/>
    </row>
    <row r="529" spans="1:25" s="10" customFormat="1" ht="11.25">
      <c r="A529" s="45"/>
      <c r="B529" s="50"/>
      <c r="C529" s="46"/>
      <c r="D529" s="46"/>
      <c r="E529" s="46"/>
      <c r="F529" s="47"/>
      <c r="G529" s="47"/>
      <c r="H529" s="47"/>
      <c r="I529" s="47"/>
      <c r="J529" s="47"/>
      <c r="K529" s="47"/>
      <c r="L529" s="47"/>
      <c r="M529" s="47"/>
      <c r="N529" s="47"/>
      <c r="O529" s="47"/>
      <c r="P529" s="47"/>
      <c r="Q529" s="47"/>
      <c r="R529" s="46"/>
      <c r="S529" s="25">
        <f t="shared" si="19"/>
        <v>0</v>
      </c>
      <c r="T529" s="25">
        <f>COUNTIF($V$4:V529,V529)</f>
        <v>340</v>
      </c>
      <c r="U529" s="25" t="str">
        <f>IF(T529=1,COUNTIF($T$4:T529,1),"")</f>
        <v/>
      </c>
      <c r="V529" s="26" t="str">
        <f>'施設状況(要更新)'!$E529&amp;'施設状況(要更新)'!$C529</f>
        <v/>
      </c>
      <c r="W529" s="26">
        <f>'施設状況(要更新)'!$F529</f>
        <v>0</v>
      </c>
      <c r="X529" s="27"/>
      <c r="Y529" s="26"/>
    </row>
    <row r="530" spans="1:25" s="10" customFormat="1" ht="11.25">
      <c r="A530" s="45"/>
      <c r="B530" s="50"/>
      <c r="C530" s="46"/>
      <c r="D530" s="46"/>
      <c r="E530" s="46"/>
      <c r="F530" s="47"/>
      <c r="G530" s="47"/>
      <c r="H530" s="47"/>
      <c r="I530" s="47"/>
      <c r="J530" s="47"/>
      <c r="K530" s="47"/>
      <c r="L530" s="47"/>
      <c r="M530" s="47"/>
      <c r="N530" s="47"/>
      <c r="O530" s="47"/>
      <c r="P530" s="47"/>
      <c r="Q530" s="47"/>
      <c r="R530" s="46"/>
      <c r="S530" s="25">
        <f t="shared" si="19"/>
        <v>0</v>
      </c>
      <c r="T530" s="25">
        <f>COUNTIF($V$4:V530,V530)</f>
        <v>341</v>
      </c>
      <c r="U530" s="25" t="str">
        <f>IF(T530=1,COUNTIF($T$4:T530,1),"")</f>
        <v/>
      </c>
      <c r="V530" s="26" t="str">
        <f>'施設状況(要更新)'!$E530&amp;'施設状況(要更新)'!$C530</f>
        <v/>
      </c>
      <c r="W530" s="26">
        <f>'施設状況(要更新)'!$F530</f>
        <v>0</v>
      </c>
      <c r="X530" s="27"/>
      <c r="Y530" s="26"/>
    </row>
    <row r="531" spans="1:25" s="10" customFormat="1" ht="11.25">
      <c r="A531" s="45"/>
      <c r="B531" s="50"/>
      <c r="C531" s="46"/>
      <c r="D531" s="46"/>
      <c r="E531" s="46"/>
      <c r="F531" s="47"/>
      <c r="G531" s="47"/>
      <c r="H531" s="47"/>
      <c r="I531" s="47"/>
      <c r="J531" s="47"/>
      <c r="K531" s="47"/>
      <c r="L531" s="47"/>
      <c r="M531" s="47"/>
      <c r="N531" s="47"/>
      <c r="O531" s="47"/>
      <c r="P531" s="47"/>
      <c r="Q531" s="47"/>
      <c r="R531" s="46"/>
      <c r="S531" s="25">
        <f t="shared" si="19"/>
        <v>0</v>
      </c>
      <c r="T531" s="25">
        <f>COUNTIF($V$4:V531,V531)</f>
        <v>342</v>
      </c>
      <c r="U531" s="25" t="str">
        <f>IF(T531=1,COUNTIF($T$4:T531,1),"")</f>
        <v/>
      </c>
      <c r="V531" s="26" t="str">
        <f>'施設状況(要更新)'!$E531&amp;'施設状況(要更新)'!$C531</f>
        <v/>
      </c>
      <c r="W531" s="26">
        <f>'施設状況(要更新)'!$F531</f>
        <v>0</v>
      </c>
      <c r="X531" s="27"/>
      <c r="Y531" s="26"/>
    </row>
    <row r="532" spans="1:25" s="10" customFormat="1" ht="11.25">
      <c r="A532" s="45"/>
      <c r="B532" s="50"/>
      <c r="C532" s="46"/>
      <c r="D532" s="46"/>
      <c r="E532" s="46"/>
      <c r="F532" s="47"/>
      <c r="G532" s="47"/>
      <c r="H532" s="47"/>
      <c r="I532" s="47"/>
      <c r="J532" s="47"/>
      <c r="K532" s="47"/>
      <c r="L532" s="47"/>
      <c r="M532" s="47"/>
      <c r="N532" s="47"/>
      <c r="O532" s="47"/>
      <c r="P532" s="47"/>
      <c r="Q532" s="47"/>
      <c r="R532" s="46"/>
      <c r="S532" s="25">
        <f t="shared" si="19"/>
        <v>0</v>
      </c>
      <c r="T532" s="25">
        <f>COUNTIF($V$4:V532,V532)</f>
        <v>343</v>
      </c>
      <c r="U532" s="25" t="str">
        <f>IF(T532=1,COUNTIF($T$4:T532,1),"")</f>
        <v/>
      </c>
      <c r="V532" s="26" t="str">
        <f>'施設状況(要更新)'!$E532&amp;'施設状況(要更新)'!$C532</f>
        <v/>
      </c>
      <c r="W532" s="26">
        <f>'施設状況(要更新)'!$F532</f>
        <v>0</v>
      </c>
      <c r="X532" s="27"/>
      <c r="Y532" s="26"/>
    </row>
    <row r="533" spans="1:25" s="10" customFormat="1" ht="11.25">
      <c r="A533" s="45"/>
      <c r="B533" s="50"/>
      <c r="C533" s="46"/>
      <c r="D533" s="46"/>
      <c r="E533" s="46"/>
      <c r="F533" s="47"/>
      <c r="G533" s="47"/>
      <c r="H533" s="47"/>
      <c r="I533" s="47"/>
      <c r="J533" s="47"/>
      <c r="K533" s="47"/>
      <c r="L533" s="47"/>
      <c r="M533" s="47"/>
      <c r="N533" s="47"/>
      <c r="O533" s="47"/>
      <c r="P533" s="47"/>
      <c r="Q533" s="47"/>
      <c r="R533" s="46"/>
      <c r="S533" s="25">
        <f t="shared" si="19"/>
        <v>0</v>
      </c>
      <c r="T533" s="25">
        <f>COUNTIF($V$4:V533,V533)</f>
        <v>344</v>
      </c>
      <c r="U533" s="25" t="str">
        <f>IF(T533=1,COUNTIF($T$4:T533,1),"")</f>
        <v/>
      </c>
      <c r="V533" s="26" t="str">
        <f>'施設状況(要更新)'!$E533&amp;'施設状況(要更新)'!$C533</f>
        <v/>
      </c>
      <c r="W533" s="26">
        <f>'施設状況(要更新)'!$F533</f>
        <v>0</v>
      </c>
      <c r="X533" s="27"/>
      <c r="Y533" s="26"/>
    </row>
    <row r="534" spans="1:25" s="10" customFormat="1" ht="11.25">
      <c r="A534" s="45"/>
      <c r="B534" s="50"/>
      <c r="C534" s="46"/>
      <c r="D534" s="46"/>
      <c r="E534" s="46"/>
      <c r="F534" s="47"/>
      <c r="G534" s="47"/>
      <c r="H534" s="47"/>
      <c r="I534" s="47"/>
      <c r="J534" s="47"/>
      <c r="K534" s="47"/>
      <c r="L534" s="47"/>
      <c r="M534" s="47"/>
      <c r="N534" s="47"/>
      <c r="O534" s="47"/>
      <c r="P534" s="47"/>
      <c r="Q534" s="47"/>
      <c r="R534" s="46"/>
      <c r="S534" s="25">
        <f t="shared" si="19"/>
        <v>0</v>
      </c>
      <c r="T534" s="25">
        <f>COUNTIF($V$4:V534,V534)</f>
        <v>345</v>
      </c>
      <c r="U534" s="25" t="str">
        <f>IF(T534=1,COUNTIF($T$4:T534,1),"")</f>
        <v/>
      </c>
      <c r="V534" s="26" t="str">
        <f>'施設状況(要更新)'!$E534&amp;'施設状況(要更新)'!$C534</f>
        <v/>
      </c>
      <c r="W534" s="26">
        <f>'施設状況(要更新)'!$F534</f>
        <v>0</v>
      </c>
      <c r="X534" s="27"/>
      <c r="Y534" s="26"/>
    </row>
    <row r="535" spans="1:25" s="10" customFormat="1" ht="11.25">
      <c r="A535" s="45"/>
      <c r="B535" s="50"/>
      <c r="C535" s="46"/>
      <c r="D535" s="46"/>
      <c r="E535" s="46"/>
      <c r="F535" s="47"/>
      <c r="G535" s="47"/>
      <c r="H535" s="47"/>
      <c r="I535" s="47"/>
      <c r="J535" s="47"/>
      <c r="K535" s="47"/>
      <c r="L535" s="47"/>
      <c r="M535" s="47"/>
      <c r="N535" s="47"/>
      <c r="O535" s="47"/>
      <c r="P535" s="47"/>
      <c r="Q535" s="47"/>
      <c r="R535" s="46"/>
      <c r="S535" s="25">
        <f t="shared" si="19"/>
        <v>0</v>
      </c>
      <c r="T535" s="25">
        <f>COUNTIF($V$4:V535,V535)</f>
        <v>346</v>
      </c>
      <c r="U535" s="25" t="str">
        <f>IF(T535=1,COUNTIF($T$4:T535,1),"")</f>
        <v/>
      </c>
      <c r="V535" s="26" t="str">
        <f>'施設状況(要更新)'!$E535&amp;'施設状況(要更新)'!$C535</f>
        <v/>
      </c>
      <c r="W535" s="26">
        <f>'施設状況(要更新)'!$F535</f>
        <v>0</v>
      </c>
      <c r="X535" s="27"/>
      <c r="Y535" s="26"/>
    </row>
    <row r="536" spans="1:25" s="10" customFormat="1" ht="11.25">
      <c r="A536" s="45"/>
      <c r="B536" s="50"/>
      <c r="C536" s="46"/>
      <c r="D536" s="46"/>
      <c r="E536" s="46"/>
      <c r="F536" s="47"/>
      <c r="G536" s="47"/>
      <c r="H536" s="47"/>
      <c r="I536" s="47"/>
      <c r="J536" s="47"/>
      <c r="K536" s="47"/>
      <c r="L536" s="47"/>
      <c r="M536" s="47"/>
      <c r="N536" s="47"/>
      <c r="O536" s="47"/>
      <c r="P536" s="47"/>
      <c r="Q536" s="47"/>
      <c r="R536" s="46"/>
      <c r="S536" s="25">
        <f t="shared" si="19"/>
        <v>0</v>
      </c>
      <c r="T536" s="25">
        <f>COUNTIF($V$4:V536,V536)</f>
        <v>347</v>
      </c>
      <c r="U536" s="25" t="str">
        <f>IF(T536=1,COUNTIF($T$4:T536,1),"")</f>
        <v/>
      </c>
      <c r="V536" s="26" t="str">
        <f>'施設状況(要更新)'!$E536&amp;'施設状況(要更新)'!$C536</f>
        <v/>
      </c>
      <c r="W536" s="26">
        <f>'施設状況(要更新)'!$F536</f>
        <v>0</v>
      </c>
      <c r="X536" s="27"/>
      <c r="Y536" s="26"/>
    </row>
    <row r="537" spans="1:25" s="10" customFormat="1" ht="11.25">
      <c r="A537" s="45"/>
      <c r="B537" s="50"/>
      <c r="C537" s="46"/>
      <c r="D537" s="46"/>
      <c r="E537" s="46"/>
      <c r="F537" s="47"/>
      <c r="G537" s="47"/>
      <c r="H537" s="47"/>
      <c r="I537" s="47"/>
      <c r="J537" s="47"/>
      <c r="K537" s="47"/>
      <c r="L537" s="47"/>
      <c r="M537" s="47"/>
      <c r="N537" s="47"/>
      <c r="O537" s="47"/>
      <c r="P537" s="47"/>
      <c r="Q537" s="47"/>
      <c r="R537" s="46"/>
      <c r="S537" s="25">
        <f t="shared" si="19"/>
        <v>0</v>
      </c>
      <c r="T537" s="25">
        <f>COUNTIF($V$4:V537,V537)</f>
        <v>348</v>
      </c>
      <c r="U537" s="25" t="str">
        <f>IF(T537=1,COUNTIF($T$4:T537,1),"")</f>
        <v/>
      </c>
      <c r="V537" s="26" t="str">
        <f>'施設状況(要更新)'!$E537&amp;'施設状況(要更新)'!$C537</f>
        <v/>
      </c>
      <c r="W537" s="26">
        <f>'施設状況(要更新)'!$F537</f>
        <v>0</v>
      </c>
      <c r="X537" s="27"/>
      <c r="Y537" s="26"/>
    </row>
    <row r="538" spans="1:25" s="10" customFormat="1" ht="11.25">
      <c r="A538" s="45"/>
      <c r="B538" s="50"/>
      <c r="C538" s="46"/>
      <c r="D538" s="46"/>
      <c r="E538" s="46"/>
      <c r="F538" s="47"/>
      <c r="G538" s="47"/>
      <c r="H538" s="47"/>
      <c r="I538" s="47"/>
      <c r="J538" s="47"/>
      <c r="K538" s="47"/>
      <c r="L538" s="47"/>
      <c r="M538" s="47"/>
      <c r="N538" s="47"/>
      <c r="O538" s="47"/>
      <c r="P538" s="47"/>
      <c r="Q538" s="47"/>
      <c r="R538" s="46"/>
      <c r="S538" s="25">
        <f t="shared" si="19"/>
        <v>0</v>
      </c>
      <c r="T538" s="25">
        <f>COUNTIF($V$4:V538,V538)</f>
        <v>349</v>
      </c>
      <c r="U538" s="25" t="str">
        <f>IF(T538=1,COUNTIF($T$4:T538,1),"")</f>
        <v/>
      </c>
      <c r="V538" s="26" t="str">
        <f>'施設状況(要更新)'!$E538&amp;'施設状況(要更新)'!$C538</f>
        <v/>
      </c>
      <c r="W538" s="26">
        <f>'施設状況(要更新)'!$F538</f>
        <v>0</v>
      </c>
      <c r="X538" s="27"/>
      <c r="Y538" s="26"/>
    </row>
    <row r="539" spans="1:25" s="10" customFormat="1" ht="11.25">
      <c r="A539" s="45"/>
      <c r="B539" s="50"/>
      <c r="C539" s="46"/>
      <c r="D539" s="46"/>
      <c r="E539" s="46"/>
      <c r="F539" s="47"/>
      <c r="G539" s="47"/>
      <c r="H539" s="47"/>
      <c r="I539" s="47"/>
      <c r="J539" s="47"/>
      <c r="K539" s="47"/>
      <c r="L539" s="47"/>
      <c r="M539" s="47"/>
      <c r="N539" s="47"/>
      <c r="O539" s="47"/>
      <c r="P539" s="47"/>
      <c r="Q539" s="47"/>
      <c r="R539" s="46"/>
      <c r="S539" s="25">
        <f t="shared" si="19"/>
        <v>0</v>
      </c>
      <c r="T539" s="25">
        <f>COUNTIF($V$4:V539,V539)</f>
        <v>350</v>
      </c>
      <c r="U539" s="25" t="str">
        <f>IF(T539=1,COUNTIF($T$4:T539,1),"")</f>
        <v/>
      </c>
      <c r="V539" s="26" t="str">
        <f>'施設状況(要更新)'!$E539&amp;'施設状況(要更新)'!$C539</f>
        <v/>
      </c>
      <c r="W539" s="26">
        <f>'施設状況(要更新)'!$F539</f>
        <v>0</v>
      </c>
      <c r="X539" s="27"/>
      <c r="Y539" s="26"/>
    </row>
    <row r="540" spans="1:25" s="10" customFormat="1" ht="11.25">
      <c r="A540" s="45"/>
      <c r="B540" s="50"/>
      <c r="C540" s="46"/>
      <c r="D540" s="46"/>
      <c r="E540" s="46"/>
      <c r="F540" s="47"/>
      <c r="G540" s="47"/>
      <c r="H540" s="47"/>
      <c r="I540" s="47"/>
      <c r="J540" s="47"/>
      <c r="K540" s="47"/>
      <c r="L540" s="47"/>
      <c r="M540" s="47"/>
      <c r="N540" s="47"/>
      <c r="O540" s="47"/>
      <c r="P540" s="47"/>
      <c r="Q540" s="47"/>
      <c r="R540" s="46"/>
      <c r="S540" s="25">
        <f t="shared" si="19"/>
        <v>0</v>
      </c>
      <c r="T540" s="25">
        <f>COUNTIF($V$4:V540,V540)</f>
        <v>351</v>
      </c>
      <c r="U540" s="25" t="str">
        <f>IF(T540=1,COUNTIF($T$4:T540,1),"")</f>
        <v/>
      </c>
      <c r="V540" s="26" t="str">
        <f>'施設状況(要更新)'!$E540&amp;'施設状況(要更新)'!$C540</f>
        <v/>
      </c>
      <c r="W540" s="26">
        <f>'施設状況(要更新)'!$F540</f>
        <v>0</v>
      </c>
      <c r="X540" s="27"/>
      <c r="Y540" s="26"/>
    </row>
    <row r="541" spans="1:25" s="10" customFormat="1" ht="11.25">
      <c r="A541" s="45"/>
      <c r="B541" s="50"/>
      <c r="C541" s="46"/>
      <c r="D541" s="46"/>
      <c r="E541" s="46"/>
      <c r="F541" s="47"/>
      <c r="G541" s="47"/>
      <c r="H541" s="47"/>
      <c r="I541" s="47"/>
      <c r="J541" s="47"/>
      <c r="K541" s="47"/>
      <c r="L541" s="47"/>
      <c r="M541" s="47"/>
      <c r="N541" s="47"/>
      <c r="O541" s="47"/>
      <c r="P541" s="47"/>
      <c r="Q541" s="47"/>
      <c r="R541" s="46"/>
      <c r="S541" s="25">
        <f t="shared" si="19"/>
        <v>0</v>
      </c>
      <c r="T541" s="25">
        <f>COUNTIF($V$4:V541,V541)</f>
        <v>352</v>
      </c>
      <c r="U541" s="25" t="str">
        <f>IF(T541=1,COUNTIF($T$4:T541,1),"")</f>
        <v/>
      </c>
      <c r="V541" s="26" t="str">
        <f>'施設状況(要更新)'!$E541&amp;'施設状況(要更新)'!$C541</f>
        <v/>
      </c>
      <c r="W541" s="26">
        <f>'施設状況(要更新)'!$F541</f>
        <v>0</v>
      </c>
      <c r="X541" s="27"/>
      <c r="Y541" s="26"/>
    </row>
    <row r="542" spans="1:25" s="10" customFormat="1" ht="11.25">
      <c r="A542" s="45"/>
      <c r="B542" s="50"/>
      <c r="C542" s="46"/>
      <c r="D542" s="46"/>
      <c r="E542" s="46"/>
      <c r="F542" s="47"/>
      <c r="G542" s="47"/>
      <c r="H542" s="47"/>
      <c r="I542" s="47"/>
      <c r="J542" s="47"/>
      <c r="K542" s="47"/>
      <c r="L542" s="47"/>
      <c r="M542" s="47"/>
      <c r="N542" s="47"/>
      <c r="O542" s="47"/>
      <c r="P542" s="47"/>
      <c r="Q542" s="47"/>
      <c r="R542" s="46"/>
      <c r="S542" s="25">
        <f t="shared" si="19"/>
        <v>0</v>
      </c>
      <c r="T542" s="25">
        <f>COUNTIF($V$4:V542,V542)</f>
        <v>353</v>
      </c>
      <c r="U542" s="25" t="str">
        <f>IF(T542=1,COUNTIF($T$4:T542,1),"")</f>
        <v/>
      </c>
      <c r="V542" s="26" t="str">
        <f>'施設状況(要更新)'!$E542&amp;'施設状況(要更新)'!$C542</f>
        <v/>
      </c>
      <c r="W542" s="26">
        <f>'施設状況(要更新)'!$F542</f>
        <v>0</v>
      </c>
      <c r="X542" s="27"/>
      <c r="Y542" s="26"/>
    </row>
    <row r="543" spans="1:25" s="10" customFormat="1" ht="11.25">
      <c r="A543" s="45"/>
      <c r="B543" s="50"/>
      <c r="C543" s="46"/>
      <c r="D543" s="46"/>
      <c r="E543" s="46"/>
      <c r="F543" s="47"/>
      <c r="G543" s="47"/>
      <c r="H543" s="47"/>
      <c r="I543" s="47"/>
      <c r="J543" s="47"/>
      <c r="K543" s="47"/>
      <c r="L543" s="47"/>
      <c r="M543" s="47"/>
      <c r="N543" s="47"/>
      <c r="O543" s="47"/>
      <c r="P543" s="47"/>
      <c r="Q543" s="47"/>
      <c r="R543" s="46"/>
      <c r="S543" s="25">
        <f t="shared" si="19"/>
        <v>0</v>
      </c>
      <c r="T543" s="25">
        <f>COUNTIF($V$4:V543,V543)</f>
        <v>354</v>
      </c>
      <c r="U543" s="25" t="str">
        <f>IF(T543=1,COUNTIF($T$4:T543,1),"")</f>
        <v/>
      </c>
      <c r="V543" s="26" t="str">
        <f>'施設状況(要更新)'!$E543&amp;'施設状況(要更新)'!$C543</f>
        <v/>
      </c>
      <c r="W543" s="26">
        <f>'施設状況(要更新)'!$F543</f>
        <v>0</v>
      </c>
      <c r="X543" s="27"/>
      <c r="Y543" s="26"/>
    </row>
    <row r="544" spans="1:25" s="10" customFormat="1" ht="11.25">
      <c r="A544" s="45"/>
      <c r="B544" s="50"/>
      <c r="C544" s="46"/>
      <c r="D544" s="46"/>
      <c r="E544" s="46"/>
      <c r="F544" s="47"/>
      <c r="G544" s="47"/>
      <c r="H544" s="47"/>
      <c r="I544" s="47"/>
      <c r="J544" s="47"/>
      <c r="K544" s="47"/>
      <c r="L544" s="47"/>
      <c r="M544" s="47"/>
      <c r="N544" s="47"/>
      <c r="O544" s="47"/>
      <c r="P544" s="47"/>
      <c r="Q544" s="47"/>
      <c r="R544" s="46"/>
      <c r="S544" s="25">
        <f t="shared" si="19"/>
        <v>0</v>
      </c>
      <c r="T544" s="25">
        <f>COUNTIF($V$4:V544,V544)</f>
        <v>355</v>
      </c>
      <c r="U544" s="25" t="str">
        <f>IF(T544=1,COUNTIF($T$4:T544,1),"")</f>
        <v/>
      </c>
      <c r="V544" s="26" t="str">
        <f>'施設状況(要更新)'!$E544&amp;'施設状況(要更新)'!$C544</f>
        <v/>
      </c>
      <c r="W544" s="26">
        <f>'施設状況(要更新)'!$F544</f>
        <v>0</v>
      </c>
      <c r="X544" s="27"/>
      <c r="Y544" s="26"/>
    </row>
    <row r="545" spans="1:25" s="10" customFormat="1" ht="11.25">
      <c r="A545" s="45"/>
      <c r="B545" s="50"/>
      <c r="C545" s="46"/>
      <c r="D545" s="46"/>
      <c r="E545" s="46"/>
      <c r="F545" s="47"/>
      <c r="G545" s="47"/>
      <c r="H545" s="47"/>
      <c r="I545" s="47"/>
      <c r="J545" s="47"/>
      <c r="K545" s="47"/>
      <c r="L545" s="47"/>
      <c r="M545" s="47"/>
      <c r="N545" s="47"/>
      <c r="O545" s="47"/>
      <c r="P545" s="47"/>
      <c r="Q545" s="47"/>
      <c r="R545" s="46"/>
      <c r="S545" s="25">
        <f t="shared" si="19"/>
        <v>0</v>
      </c>
      <c r="T545" s="25">
        <f>COUNTIF($V$4:V545,V545)</f>
        <v>356</v>
      </c>
      <c r="U545" s="25" t="str">
        <f>IF(T545=1,COUNTIF($T$4:T545,1),"")</f>
        <v/>
      </c>
      <c r="V545" s="26" t="str">
        <f>'施設状況(要更新)'!$E545&amp;'施設状況(要更新)'!$C545</f>
        <v/>
      </c>
      <c r="W545" s="26">
        <f>'施設状況(要更新)'!$F545</f>
        <v>0</v>
      </c>
      <c r="X545" s="27"/>
      <c r="Y545" s="26"/>
    </row>
    <row r="546" spans="1:25" s="10" customFormat="1" ht="11.25">
      <c r="A546" s="45"/>
      <c r="B546" s="50"/>
      <c r="C546" s="46"/>
      <c r="D546" s="46"/>
      <c r="E546" s="46"/>
      <c r="F546" s="47"/>
      <c r="G546" s="47"/>
      <c r="H546" s="47"/>
      <c r="I546" s="47"/>
      <c r="J546" s="47"/>
      <c r="K546" s="47"/>
      <c r="L546" s="47"/>
      <c r="M546" s="47"/>
      <c r="N546" s="47"/>
      <c r="O546" s="47"/>
      <c r="P546" s="47"/>
      <c r="Q546" s="47"/>
      <c r="R546" s="46"/>
      <c r="S546" s="25">
        <f t="shared" si="19"/>
        <v>0</v>
      </c>
      <c r="T546" s="25">
        <f>COUNTIF($V$4:V546,V546)</f>
        <v>357</v>
      </c>
      <c r="U546" s="25" t="str">
        <f>IF(T546=1,COUNTIF($T$4:T546,1),"")</f>
        <v/>
      </c>
      <c r="V546" s="26" t="str">
        <f>'施設状況(要更新)'!$E546&amp;'施設状況(要更新)'!$C546</f>
        <v/>
      </c>
      <c r="W546" s="26">
        <f>'施設状況(要更新)'!$F546</f>
        <v>0</v>
      </c>
      <c r="X546" s="27"/>
      <c r="Y546" s="26"/>
    </row>
    <row r="547" spans="1:25" s="10" customFormat="1" ht="11.25">
      <c r="A547" s="45"/>
      <c r="B547" s="50"/>
      <c r="C547" s="46"/>
      <c r="D547" s="46"/>
      <c r="E547" s="46"/>
      <c r="F547" s="47"/>
      <c r="G547" s="47"/>
      <c r="H547" s="47"/>
      <c r="I547" s="47"/>
      <c r="J547" s="47"/>
      <c r="K547" s="47"/>
      <c r="L547" s="47"/>
      <c r="M547" s="47"/>
      <c r="N547" s="47"/>
      <c r="O547" s="47"/>
      <c r="P547" s="47"/>
      <c r="Q547" s="47"/>
      <c r="R547" s="46"/>
      <c r="S547" s="25">
        <f t="shared" si="19"/>
        <v>0</v>
      </c>
      <c r="T547" s="25">
        <f>COUNTIF($V$4:V547,V547)</f>
        <v>358</v>
      </c>
      <c r="U547" s="25" t="str">
        <f>IF(T547=1,COUNTIF($T$4:T547,1),"")</f>
        <v/>
      </c>
      <c r="V547" s="26" t="str">
        <f>'施設状況(要更新)'!$E547&amp;'施設状況(要更新)'!$C547</f>
        <v/>
      </c>
      <c r="W547" s="26">
        <f>'施設状況(要更新)'!$F547</f>
        <v>0</v>
      </c>
      <c r="X547" s="27"/>
      <c r="Y547" s="26"/>
    </row>
    <row r="548" spans="1:25" s="10" customFormat="1" ht="11.25">
      <c r="A548" s="45"/>
      <c r="B548" s="50"/>
      <c r="C548" s="46"/>
      <c r="D548" s="46"/>
      <c r="E548" s="46"/>
      <c r="F548" s="47"/>
      <c r="G548" s="47"/>
      <c r="H548" s="47"/>
      <c r="I548" s="47"/>
      <c r="J548" s="47"/>
      <c r="K548" s="47"/>
      <c r="L548" s="47"/>
      <c r="M548" s="47"/>
      <c r="N548" s="47"/>
      <c r="O548" s="47"/>
      <c r="P548" s="47"/>
      <c r="Q548" s="47"/>
      <c r="R548" s="46"/>
      <c r="S548" s="25">
        <f t="shared" si="19"/>
        <v>0</v>
      </c>
      <c r="T548" s="25">
        <f>COUNTIF($V$4:V548,V548)</f>
        <v>359</v>
      </c>
      <c r="U548" s="25" t="str">
        <f>IF(T548=1,COUNTIF($T$4:T548,1),"")</f>
        <v/>
      </c>
      <c r="V548" s="26" t="str">
        <f>'施設状況(要更新)'!$E548&amp;'施設状況(要更新)'!$C548</f>
        <v/>
      </c>
      <c r="W548" s="26">
        <f>'施設状況(要更新)'!$F548</f>
        <v>0</v>
      </c>
      <c r="X548" s="27"/>
      <c r="Y548" s="26"/>
    </row>
    <row r="549" spans="1:25" s="10" customFormat="1" ht="11.25">
      <c r="A549" s="45"/>
      <c r="B549" s="50"/>
      <c r="C549" s="46"/>
      <c r="D549" s="46"/>
      <c r="E549" s="46"/>
      <c r="F549" s="47"/>
      <c r="G549" s="47"/>
      <c r="H549" s="47"/>
      <c r="I549" s="47"/>
      <c r="J549" s="47"/>
      <c r="K549" s="47"/>
      <c r="L549" s="47"/>
      <c r="M549" s="47"/>
      <c r="N549" s="47"/>
      <c r="O549" s="47"/>
      <c r="P549" s="47"/>
      <c r="Q549" s="47"/>
      <c r="R549" s="46"/>
      <c r="S549" s="25">
        <f t="shared" si="19"/>
        <v>0</v>
      </c>
      <c r="T549" s="25">
        <f>COUNTIF($V$4:V549,V549)</f>
        <v>360</v>
      </c>
      <c r="U549" s="25" t="str">
        <f>IF(T549=1,COUNTIF($T$4:T549,1),"")</f>
        <v/>
      </c>
      <c r="V549" s="26" t="str">
        <f>'施設状況(要更新)'!$E549&amp;'施設状況(要更新)'!$C549</f>
        <v/>
      </c>
      <c r="W549" s="26">
        <f>'施設状況(要更新)'!$F549</f>
        <v>0</v>
      </c>
      <c r="X549" s="27"/>
      <c r="Y549" s="26"/>
    </row>
    <row r="550" spans="1:25" s="10" customFormat="1" ht="11.25">
      <c r="A550" s="45"/>
      <c r="B550" s="50"/>
      <c r="C550" s="46"/>
      <c r="D550" s="46"/>
      <c r="E550" s="46"/>
      <c r="F550" s="47"/>
      <c r="G550" s="47"/>
      <c r="H550" s="47"/>
      <c r="I550" s="47"/>
      <c r="J550" s="47"/>
      <c r="K550" s="47"/>
      <c r="L550" s="47"/>
      <c r="M550" s="47"/>
      <c r="N550" s="47"/>
      <c r="O550" s="47"/>
      <c r="P550" s="47"/>
      <c r="Q550" s="47"/>
      <c r="R550" s="46"/>
      <c r="S550" s="25">
        <f t="shared" si="19"/>
        <v>0</v>
      </c>
      <c r="T550" s="25">
        <f>COUNTIF($V$4:V550,V550)</f>
        <v>361</v>
      </c>
      <c r="U550" s="25" t="str">
        <f>IF(T550=1,COUNTIF($T$4:T550,1),"")</f>
        <v/>
      </c>
      <c r="V550" s="26" t="str">
        <f>'施設状況(要更新)'!$E550&amp;'施設状況(要更新)'!$C550</f>
        <v/>
      </c>
      <c r="W550" s="26">
        <f>'施設状況(要更新)'!$F550</f>
        <v>0</v>
      </c>
      <c r="X550" s="27"/>
      <c r="Y550" s="26"/>
    </row>
    <row r="551" spans="1:25" s="10" customFormat="1" ht="11.25">
      <c r="A551" s="45"/>
      <c r="B551" s="50"/>
      <c r="C551" s="46"/>
      <c r="D551" s="46"/>
      <c r="E551" s="46"/>
      <c r="F551" s="47"/>
      <c r="G551" s="47"/>
      <c r="H551" s="47"/>
      <c r="I551" s="47"/>
      <c r="J551" s="47"/>
      <c r="K551" s="47"/>
      <c r="L551" s="47"/>
      <c r="M551" s="47"/>
      <c r="N551" s="47"/>
      <c r="O551" s="47"/>
      <c r="P551" s="47"/>
      <c r="Q551" s="47"/>
      <c r="R551" s="46"/>
      <c r="S551" s="25">
        <f t="shared" si="19"/>
        <v>0</v>
      </c>
      <c r="T551" s="25">
        <f>COUNTIF($V$4:V551,V551)</f>
        <v>362</v>
      </c>
      <c r="U551" s="25" t="str">
        <f>IF(T551=1,COUNTIF($T$4:T551,1),"")</f>
        <v/>
      </c>
      <c r="V551" s="26" t="str">
        <f>'施設状況(要更新)'!$E551&amp;'施設状況(要更新)'!$C551</f>
        <v/>
      </c>
      <c r="W551" s="26">
        <f>'施設状況(要更新)'!$F551</f>
        <v>0</v>
      </c>
      <c r="X551" s="27"/>
      <c r="Y551" s="26"/>
    </row>
    <row r="552" spans="1:25" s="10" customFormat="1" ht="11.25">
      <c r="A552" s="45"/>
      <c r="B552" s="50"/>
      <c r="C552" s="46"/>
      <c r="D552" s="46"/>
      <c r="E552" s="46"/>
      <c r="F552" s="47"/>
      <c r="G552" s="47"/>
      <c r="H552" s="47"/>
      <c r="I552" s="47"/>
      <c r="J552" s="47"/>
      <c r="K552" s="47"/>
      <c r="L552" s="47"/>
      <c r="M552" s="47"/>
      <c r="N552" s="47"/>
      <c r="O552" s="47"/>
      <c r="P552" s="47"/>
      <c r="Q552" s="47"/>
      <c r="R552" s="46"/>
      <c r="S552" s="25">
        <f t="shared" si="19"/>
        <v>0</v>
      </c>
      <c r="T552" s="25">
        <f>COUNTIF($V$4:V552,V552)</f>
        <v>363</v>
      </c>
      <c r="U552" s="25" t="str">
        <f>IF(T552=1,COUNTIF($T$4:T552,1),"")</f>
        <v/>
      </c>
      <c r="V552" s="26" t="str">
        <f>'施設状況(要更新)'!$E552&amp;'施設状況(要更新)'!$C552</f>
        <v/>
      </c>
      <c r="W552" s="26">
        <f>'施設状況(要更新)'!$F552</f>
        <v>0</v>
      </c>
      <c r="X552" s="27"/>
      <c r="Y552" s="26"/>
    </row>
    <row r="553" spans="1:25" s="10" customFormat="1" ht="11.25">
      <c r="A553" s="45"/>
      <c r="B553" s="50"/>
      <c r="C553" s="46"/>
      <c r="D553" s="46"/>
      <c r="E553" s="46"/>
      <c r="F553" s="47"/>
      <c r="G553" s="47"/>
      <c r="H553" s="47"/>
      <c r="I553" s="47"/>
      <c r="J553" s="47"/>
      <c r="K553" s="47"/>
      <c r="L553" s="47"/>
      <c r="M553" s="47"/>
      <c r="N553" s="47"/>
      <c r="O553" s="47"/>
      <c r="P553" s="47"/>
      <c r="Q553" s="47"/>
      <c r="R553" s="46"/>
      <c r="S553" s="25">
        <f t="shared" si="19"/>
        <v>0</v>
      </c>
      <c r="T553" s="25">
        <f>COUNTIF($V$4:V553,V553)</f>
        <v>364</v>
      </c>
      <c r="U553" s="25" t="str">
        <f>IF(T553=1,COUNTIF($T$4:T553,1),"")</f>
        <v/>
      </c>
      <c r="V553" s="26" t="str">
        <f>'施設状況(要更新)'!$E553&amp;'施設状況(要更新)'!$C553</f>
        <v/>
      </c>
      <c r="W553" s="26">
        <f>'施設状況(要更新)'!$F553</f>
        <v>0</v>
      </c>
      <c r="X553" s="27"/>
      <c r="Y553" s="26"/>
    </row>
    <row r="554" spans="1:25" s="10" customFormat="1" ht="11.25">
      <c r="A554" s="45"/>
      <c r="B554" s="50"/>
      <c r="C554" s="46"/>
      <c r="D554" s="46"/>
      <c r="E554" s="46"/>
      <c r="F554" s="47"/>
      <c r="G554" s="47"/>
      <c r="H554" s="47"/>
      <c r="I554" s="47"/>
      <c r="J554" s="47"/>
      <c r="K554" s="47"/>
      <c r="L554" s="47"/>
      <c r="M554" s="47"/>
      <c r="N554" s="47"/>
      <c r="O554" s="47"/>
      <c r="P554" s="47"/>
      <c r="Q554" s="47"/>
      <c r="R554" s="46"/>
      <c r="S554" s="25">
        <f t="shared" si="19"/>
        <v>0</v>
      </c>
      <c r="T554" s="25">
        <f>COUNTIF($V$4:V554,V554)</f>
        <v>365</v>
      </c>
      <c r="U554" s="25" t="str">
        <f>IF(T554=1,COUNTIF($T$4:T554,1),"")</f>
        <v/>
      </c>
      <c r="V554" s="26" t="str">
        <f>'施設状況(要更新)'!$E554&amp;'施設状況(要更新)'!$C554</f>
        <v/>
      </c>
      <c r="W554" s="26">
        <f>'施設状況(要更新)'!$F554</f>
        <v>0</v>
      </c>
      <c r="X554" s="27"/>
      <c r="Y554" s="26"/>
    </row>
    <row r="555" spans="1:25" s="10" customFormat="1" ht="11.25">
      <c r="A555" s="45"/>
      <c r="B555" s="50"/>
      <c r="C555" s="46"/>
      <c r="D555" s="46"/>
      <c r="E555" s="46"/>
      <c r="F555" s="47"/>
      <c r="G555" s="47"/>
      <c r="H555" s="47"/>
      <c r="I555" s="47"/>
      <c r="J555" s="47"/>
      <c r="K555" s="47"/>
      <c r="L555" s="47"/>
      <c r="M555" s="47"/>
      <c r="N555" s="47"/>
      <c r="O555" s="47"/>
      <c r="P555" s="47"/>
      <c r="Q555" s="47"/>
      <c r="R555" s="46"/>
      <c r="S555" s="25">
        <f t="shared" si="19"/>
        <v>0</v>
      </c>
      <c r="T555" s="25">
        <f>COUNTIF($V$4:V555,V555)</f>
        <v>366</v>
      </c>
      <c r="U555" s="25" t="str">
        <f>IF(T555=1,COUNTIF($T$4:T555,1),"")</f>
        <v/>
      </c>
      <c r="V555" s="26" t="str">
        <f>'施設状況(要更新)'!$E555&amp;'施設状況(要更新)'!$C555</f>
        <v/>
      </c>
      <c r="W555" s="26">
        <f>'施設状況(要更新)'!$F555</f>
        <v>0</v>
      </c>
      <c r="X555" s="27"/>
      <c r="Y555" s="26"/>
    </row>
    <row r="556" spans="1:25" s="10" customFormat="1" ht="11.25">
      <c r="A556" s="45"/>
      <c r="B556" s="50"/>
      <c r="C556" s="46"/>
      <c r="D556" s="46"/>
      <c r="E556" s="46"/>
      <c r="F556" s="47"/>
      <c r="G556" s="47"/>
      <c r="H556" s="47"/>
      <c r="I556" s="47"/>
      <c r="J556" s="47"/>
      <c r="K556" s="47"/>
      <c r="L556" s="47"/>
      <c r="M556" s="47"/>
      <c r="N556" s="47"/>
      <c r="O556" s="47"/>
      <c r="P556" s="47"/>
      <c r="Q556" s="47"/>
      <c r="R556" s="46"/>
      <c r="S556" s="25">
        <f t="shared" si="19"/>
        <v>0</v>
      </c>
      <c r="T556" s="25">
        <f>COUNTIF($V$4:V556,V556)</f>
        <v>367</v>
      </c>
      <c r="U556" s="25" t="str">
        <f>IF(T556=1,COUNTIF($T$4:T556,1),"")</f>
        <v/>
      </c>
      <c r="V556" s="26" t="str">
        <f>'施設状況(要更新)'!$E556&amp;'施設状況(要更新)'!$C556</f>
        <v/>
      </c>
      <c r="W556" s="26">
        <f>'施設状況(要更新)'!$F556</f>
        <v>0</v>
      </c>
      <c r="X556" s="27"/>
      <c r="Y556" s="26"/>
    </row>
    <row r="557" spans="1:25" s="10" customFormat="1" ht="11.25">
      <c r="A557" s="45"/>
      <c r="B557" s="50"/>
      <c r="C557" s="46"/>
      <c r="D557" s="46"/>
      <c r="E557" s="46"/>
      <c r="F557" s="47"/>
      <c r="G557" s="47"/>
      <c r="H557" s="47"/>
      <c r="I557" s="47"/>
      <c r="J557" s="47"/>
      <c r="K557" s="47"/>
      <c r="L557" s="47"/>
      <c r="M557" s="47"/>
      <c r="N557" s="47"/>
      <c r="O557" s="47"/>
      <c r="P557" s="47"/>
      <c r="Q557" s="47"/>
      <c r="R557" s="46"/>
      <c r="S557" s="25">
        <f t="shared" si="19"/>
        <v>0</v>
      </c>
      <c r="T557" s="25">
        <f>COUNTIF($V$4:V557,V557)</f>
        <v>368</v>
      </c>
      <c r="U557" s="25" t="str">
        <f>IF(T557=1,COUNTIF($T$4:T557,1),"")</f>
        <v/>
      </c>
      <c r="V557" s="26" t="str">
        <f>'施設状況(要更新)'!$E557&amp;'施設状況(要更新)'!$C557</f>
        <v/>
      </c>
      <c r="W557" s="26">
        <f>'施設状況(要更新)'!$F557</f>
        <v>0</v>
      </c>
      <c r="X557" s="27"/>
      <c r="Y557" s="26"/>
    </row>
    <row r="558" spans="1:25" s="10" customFormat="1" ht="11.25">
      <c r="A558" s="45"/>
      <c r="B558" s="50"/>
      <c r="C558" s="46"/>
      <c r="D558" s="46"/>
      <c r="E558" s="46"/>
      <c r="F558" s="47"/>
      <c r="G558" s="47"/>
      <c r="H558" s="47"/>
      <c r="I558" s="47"/>
      <c r="J558" s="47"/>
      <c r="K558" s="47"/>
      <c r="L558" s="47"/>
      <c r="M558" s="47"/>
      <c r="N558" s="47"/>
      <c r="O558" s="47"/>
      <c r="P558" s="47"/>
      <c r="Q558" s="47"/>
      <c r="R558" s="46"/>
      <c r="S558" s="25">
        <f t="shared" si="19"/>
        <v>0</v>
      </c>
      <c r="T558" s="25">
        <f>COUNTIF($V$4:V558,V558)</f>
        <v>369</v>
      </c>
      <c r="U558" s="25" t="str">
        <f>IF(T558=1,COUNTIF($T$4:T558,1),"")</f>
        <v/>
      </c>
      <c r="V558" s="26" t="str">
        <f>'施設状況(要更新)'!$E558&amp;'施設状況(要更新)'!$C558</f>
        <v/>
      </c>
      <c r="W558" s="26">
        <f>'施設状況(要更新)'!$F558</f>
        <v>0</v>
      </c>
      <c r="X558" s="27"/>
      <c r="Y558" s="26"/>
    </row>
    <row r="559" spans="1:25" s="10" customFormat="1" ht="11.25">
      <c r="A559" s="45"/>
      <c r="B559" s="50"/>
      <c r="C559" s="46"/>
      <c r="D559" s="46"/>
      <c r="E559" s="46"/>
      <c r="F559" s="47"/>
      <c r="G559" s="47"/>
      <c r="H559" s="47"/>
      <c r="I559" s="47"/>
      <c r="J559" s="47"/>
      <c r="K559" s="47"/>
      <c r="L559" s="47"/>
      <c r="M559" s="47"/>
      <c r="N559" s="47"/>
      <c r="O559" s="47"/>
      <c r="P559" s="47"/>
      <c r="Q559" s="47"/>
      <c r="R559" s="46"/>
      <c r="S559" s="25">
        <f t="shared" ref="S559:S622" si="20">A559</f>
        <v>0</v>
      </c>
      <c r="T559" s="25">
        <f>COUNTIF($V$4:V559,V559)</f>
        <v>370</v>
      </c>
      <c r="U559" s="25" t="str">
        <f>IF(T559=1,COUNTIF($T$4:T559,1),"")</f>
        <v/>
      </c>
      <c r="V559" s="26" t="str">
        <f>'施設状況(要更新)'!$E559&amp;'施設状況(要更新)'!$C559</f>
        <v/>
      </c>
      <c r="W559" s="26">
        <f>'施設状況(要更新)'!$F559</f>
        <v>0</v>
      </c>
      <c r="X559" s="27"/>
      <c r="Y559" s="26"/>
    </row>
    <row r="560" spans="1:25" s="10" customFormat="1" ht="11.25">
      <c r="A560" s="45"/>
      <c r="B560" s="50"/>
      <c r="C560" s="46"/>
      <c r="D560" s="46"/>
      <c r="E560" s="46"/>
      <c r="F560" s="47"/>
      <c r="G560" s="47"/>
      <c r="H560" s="47"/>
      <c r="I560" s="47"/>
      <c r="J560" s="47"/>
      <c r="K560" s="47"/>
      <c r="L560" s="47"/>
      <c r="M560" s="47"/>
      <c r="N560" s="47"/>
      <c r="O560" s="47"/>
      <c r="P560" s="47"/>
      <c r="Q560" s="47"/>
      <c r="R560" s="46"/>
      <c r="S560" s="25">
        <f t="shared" si="20"/>
        <v>0</v>
      </c>
      <c r="T560" s="25">
        <f>COUNTIF($V$4:V560,V560)</f>
        <v>371</v>
      </c>
      <c r="U560" s="25" t="str">
        <f>IF(T560=1,COUNTIF($T$4:T560,1),"")</f>
        <v/>
      </c>
      <c r="V560" s="26" t="str">
        <f>'施設状況(要更新)'!$E560&amp;'施設状況(要更新)'!$C560</f>
        <v/>
      </c>
      <c r="W560" s="26">
        <f>'施設状況(要更新)'!$F560</f>
        <v>0</v>
      </c>
      <c r="X560" s="27"/>
      <c r="Y560" s="26"/>
    </row>
    <row r="561" spans="1:25" s="10" customFormat="1" ht="11.25">
      <c r="A561" s="45"/>
      <c r="B561" s="50"/>
      <c r="C561" s="46"/>
      <c r="D561" s="46"/>
      <c r="E561" s="46"/>
      <c r="F561" s="47"/>
      <c r="G561" s="47"/>
      <c r="H561" s="47"/>
      <c r="I561" s="47"/>
      <c r="J561" s="47"/>
      <c r="K561" s="47"/>
      <c r="L561" s="47"/>
      <c r="M561" s="47"/>
      <c r="N561" s="47"/>
      <c r="O561" s="47"/>
      <c r="P561" s="47"/>
      <c r="Q561" s="47"/>
      <c r="R561" s="46"/>
      <c r="S561" s="25">
        <f t="shared" si="20"/>
        <v>0</v>
      </c>
      <c r="T561" s="25">
        <f>COUNTIF($V$4:V561,V561)</f>
        <v>372</v>
      </c>
      <c r="U561" s="25" t="str">
        <f>IF(T561=1,COUNTIF($T$4:T561,1),"")</f>
        <v/>
      </c>
      <c r="V561" s="26" t="str">
        <f>'施設状況(要更新)'!$E561&amp;'施設状況(要更新)'!$C561</f>
        <v/>
      </c>
      <c r="W561" s="26">
        <f>'施設状況(要更新)'!$F561</f>
        <v>0</v>
      </c>
      <c r="X561" s="27"/>
      <c r="Y561" s="26"/>
    </row>
    <row r="562" spans="1:25" s="10" customFormat="1" ht="11.25">
      <c r="A562" s="45"/>
      <c r="B562" s="50"/>
      <c r="C562" s="46"/>
      <c r="D562" s="46"/>
      <c r="E562" s="46"/>
      <c r="F562" s="47"/>
      <c r="G562" s="47"/>
      <c r="H562" s="47"/>
      <c r="I562" s="47"/>
      <c r="J562" s="47"/>
      <c r="K562" s="47"/>
      <c r="L562" s="47"/>
      <c r="M562" s="47"/>
      <c r="N562" s="47"/>
      <c r="O562" s="47"/>
      <c r="P562" s="47"/>
      <c r="Q562" s="47"/>
      <c r="R562" s="46"/>
      <c r="S562" s="25">
        <f t="shared" si="20"/>
        <v>0</v>
      </c>
      <c r="T562" s="25">
        <f>COUNTIF($V$4:V562,V562)</f>
        <v>373</v>
      </c>
      <c r="U562" s="25" t="str">
        <f>IF(T562=1,COUNTIF($T$4:T562,1),"")</f>
        <v/>
      </c>
      <c r="V562" s="26" t="str">
        <f>'施設状況(要更新)'!$E562&amp;'施設状況(要更新)'!$C562</f>
        <v/>
      </c>
      <c r="W562" s="26">
        <f>'施設状況(要更新)'!$F562</f>
        <v>0</v>
      </c>
      <c r="X562" s="27"/>
      <c r="Y562" s="26"/>
    </row>
    <row r="563" spans="1:25" s="10" customFormat="1" ht="11.25">
      <c r="A563" s="45"/>
      <c r="B563" s="50"/>
      <c r="C563" s="46"/>
      <c r="D563" s="46"/>
      <c r="E563" s="46"/>
      <c r="F563" s="47"/>
      <c r="G563" s="47"/>
      <c r="H563" s="47"/>
      <c r="I563" s="47"/>
      <c r="J563" s="47"/>
      <c r="K563" s="47"/>
      <c r="L563" s="47"/>
      <c r="M563" s="47"/>
      <c r="N563" s="47"/>
      <c r="O563" s="47"/>
      <c r="P563" s="47"/>
      <c r="Q563" s="47"/>
      <c r="R563" s="46"/>
      <c r="S563" s="25">
        <f t="shared" si="20"/>
        <v>0</v>
      </c>
      <c r="T563" s="25">
        <f>COUNTIF($V$4:V563,V563)</f>
        <v>374</v>
      </c>
      <c r="U563" s="25" t="str">
        <f>IF(T563=1,COUNTIF($T$4:T563,1),"")</f>
        <v/>
      </c>
      <c r="V563" s="26" t="str">
        <f>'施設状況(要更新)'!$E563&amp;'施設状況(要更新)'!$C563</f>
        <v/>
      </c>
      <c r="W563" s="26">
        <f>'施設状況(要更新)'!$F563</f>
        <v>0</v>
      </c>
      <c r="X563" s="27"/>
      <c r="Y563" s="26"/>
    </row>
    <row r="564" spans="1:25" s="10" customFormat="1" ht="11.25">
      <c r="A564" s="45"/>
      <c r="B564" s="50"/>
      <c r="C564" s="46"/>
      <c r="D564" s="46"/>
      <c r="E564" s="46"/>
      <c r="F564" s="47"/>
      <c r="G564" s="47"/>
      <c r="H564" s="47"/>
      <c r="I564" s="47"/>
      <c r="J564" s="47"/>
      <c r="K564" s="47"/>
      <c r="L564" s="47"/>
      <c r="M564" s="47"/>
      <c r="N564" s="47"/>
      <c r="O564" s="47"/>
      <c r="P564" s="47"/>
      <c r="Q564" s="47"/>
      <c r="R564" s="46"/>
      <c r="S564" s="25">
        <f t="shared" si="20"/>
        <v>0</v>
      </c>
      <c r="T564" s="25">
        <f>COUNTIF($V$4:V564,V564)</f>
        <v>375</v>
      </c>
      <c r="U564" s="25" t="str">
        <f>IF(T564=1,COUNTIF($T$4:T564,1),"")</f>
        <v/>
      </c>
      <c r="V564" s="26" t="str">
        <f>'施設状況(要更新)'!$E564&amp;'施設状況(要更新)'!$C564</f>
        <v/>
      </c>
      <c r="W564" s="26">
        <f>'施設状況(要更新)'!$F564</f>
        <v>0</v>
      </c>
      <c r="X564" s="27"/>
      <c r="Y564" s="26"/>
    </row>
    <row r="565" spans="1:25" s="10" customFormat="1" ht="11.25">
      <c r="A565" s="45"/>
      <c r="B565" s="50"/>
      <c r="C565" s="46"/>
      <c r="D565" s="46"/>
      <c r="E565" s="46"/>
      <c r="F565" s="47"/>
      <c r="G565" s="47"/>
      <c r="H565" s="47"/>
      <c r="I565" s="47"/>
      <c r="J565" s="47"/>
      <c r="K565" s="47"/>
      <c r="L565" s="47"/>
      <c r="M565" s="47"/>
      <c r="N565" s="47"/>
      <c r="O565" s="47"/>
      <c r="P565" s="47"/>
      <c r="Q565" s="47"/>
      <c r="R565" s="46"/>
      <c r="S565" s="25">
        <f t="shared" si="20"/>
        <v>0</v>
      </c>
      <c r="T565" s="25">
        <f>COUNTIF($V$4:V565,V565)</f>
        <v>376</v>
      </c>
      <c r="U565" s="25" t="str">
        <f>IF(T565=1,COUNTIF($T$4:T565,1),"")</f>
        <v/>
      </c>
      <c r="V565" s="26" t="str">
        <f>'施設状況(要更新)'!$E565&amp;'施設状況(要更新)'!$C565</f>
        <v/>
      </c>
      <c r="W565" s="26">
        <f>'施設状況(要更新)'!$F565</f>
        <v>0</v>
      </c>
      <c r="X565" s="27"/>
      <c r="Y565" s="26"/>
    </row>
    <row r="566" spans="1:25" s="10" customFormat="1" ht="11.25">
      <c r="A566" s="45"/>
      <c r="B566" s="50"/>
      <c r="C566" s="46"/>
      <c r="D566" s="46"/>
      <c r="E566" s="46"/>
      <c r="F566" s="47"/>
      <c r="G566" s="47"/>
      <c r="H566" s="47"/>
      <c r="I566" s="47"/>
      <c r="J566" s="47"/>
      <c r="K566" s="47"/>
      <c r="L566" s="47"/>
      <c r="M566" s="47"/>
      <c r="N566" s="47"/>
      <c r="O566" s="47"/>
      <c r="P566" s="47"/>
      <c r="Q566" s="47"/>
      <c r="R566" s="46"/>
      <c r="S566" s="25">
        <f t="shared" si="20"/>
        <v>0</v>
      </c>
      <c r="T566" s="25">
        <f>COUNTIF($V$4:V566,V566)</f>
        <v>377</v>
      </c>
      <c r="U566" s="25" t="str">
        <f>IF(T566=1,COUNTIF($T$4:T566,1),"")</f>
        <v/>
      </c>
      <c r="V566" s="26" t="str">
        <f>'施設状況(要更新)'!$E566&amp;'施設状況(要更新)'!$C566</f>
        <v/>
      </c>
      <c r="W566" s="26">
        <f>'施設状況(要更新)'!$F566</f>
        <v>0</v>
      </c>
      <c r="X566" s="27"/>
      <c r="Y566" s="26"/>
    </row>
    <row r="567" spans="1:25" s="10" customFormat="1" ht="11.25">
      <c r="A567" s="45"/>
      <c r="B567" s="50"/>
      <c r="C567" s="46"/>
      <c r="D567" s="46"/>
      <c r="E567" s="46"/>
      <c r="F567" s="47"/>
      <c r="G567" s="47"/>
      <c r="H567" s="47"/>
      <c r="I567" s="47"/>
      <c r="J567" s="47"/>
      <c r="K567" s="47"/>
      <c r="L567" s="47"/>
      <c r="M567" s="47"/>
      <c r="N567" s="47"/>
      <c r="O567" s="47"/>
      <c r="P567" s="47"/>
      <c r="Q567" s="47"/>
      <c r="R567" s="46"/>
      <c r="S567" s="25">
        <f t="shared" si="20"/>
        <v>0</v>
      </c>
      <c r="T567" s="25">
        <f>COUNTIF($V$4:V567,V567)</f>
        <v>378</v>
      </c>
      <c r="U567" s="25" t="str">
        <f>IF(T567=1,COUNTIF($T$4:T567,1),"")</f>
        <v/>
      </c>
      <c r="V567" s="26" t="str">
        <f>'施設状況(要更新)'!$E567&amp;'施設状況(要更新)'!$C567</f>
        <v/>
      </c>
      <c r="W567" s="26">
        <f>'施設状況(要更新)'!$F567</f>
        <v>0</v>
      </c>
      <c r="X567" s="27"/>
      <c r="Y567" s="26"/>
    </row>
    <row r="568" spans="1:25" s="10" customFormat="1" ht="11.25">
      <c r="A568" s="45"/>
      <c r="B568" s="50"/>
      <c r="C568" s="46"/>
      <c r="D568" s="46"/>
      <c r="E568" s="46"/>
      <c r="F568" s="47"/>
      <c r="G568" s="47"/>
      <c r="H568" s="47"/>
      <c r="I568" s="47"/>
      <c r="J568" s="47"/>
      <c r="K568" s="47"/>
      <c r="L568" s="47"/>
      <c r="M568" s="47"/>
      <c r="N568" s="47"/>
      <c r="O568" s="47"/>
      <c r="P568" s="47"/>
      <c r="Q568" s="47"/>
      <c r="R568" s="46"/>
      <c r="S568" s="25">
        <f t="shared" si="20"/>
        <v>0</v>
      </c>
      <c r="T568" s="25">
        <f>COUNTIF($V$4:V568,V568)</f>
        <v>379</v>
      </c>
      <c r="U568" s="25" t="str">
        <f>IF(T568=1,COUNTIF($T$4:T568,1),"")</f>
        <v/>
      </c>
      <c r="V568" s="26" t="str">
        <f>'施設状況(要更新)'!$E568&amp;'施設状況(要更新)'!$C568</f>
        <v/>
      </c>
      <c r="W568" s="26">
        <f>'施設状況(要更新)'!$F568</f>
        <v>0</v>
      </c>
      <c r="X568" s="27"/>
      <c r="Y568" s="26"/>
    </row>
    <row r="569" spans="1:25" s="10" customFormat="1" ht="11.25">
      <c r="A569" s="45"/>
      <c r="B569" s="50"/>
      <c r="C569" s="46"/>
      <c r="D569" s="46"/>
      <c r="E569" s="46"/>
      <c r="F569" s="47"/>
      <c r="G569" s="47"/>
      <c r="H569" s="47"/>
      <c r="I569" s="47"/>
      <c r="J569" s="47"/>
      <c r="K569" s="47"/>
      <c r="L569" s="47"/>
      <c r="M569" s="47"/>
      <c r="N569" s="47"/>
      <c r="O569" s="47"/>
      <c r="P569" s="47"/>
      <c r="Q569" s="47"/>
      <c r="R569" s="46"/>
      <c r="S569" s="25">
        <f t="shared" si="20"/>
        <v>0</v>
      </c>
      <c r="T569" s="25">
        <f>COUNTIF($V$4:V569,V569)</f>
        <v>380</v>
      </c>
      <c r="U569" s="25" t="str">
        <f>IF(T569=1,COUNTIF($T$4:T569,1),"")</f>
        <v/>
      </c>
      <c r="V569" s="26" t="str">
        <f>'施設状況(要更新)'!$E569&amp;'施設状況(要更新)'!$C569</f>
        <v/>
      </c>
      <c r="W569" s="26">
        <f>'施設状況(要更新)'!$F569</f>
        <v>0</v>
      </c>
      <c r="X569" s="27"/>
      <c r="Y569" s="26"/>
    </row>
    <row r="570" spans="1:25" s="10" customFormat="1" ht="11.25">
      <c r="A570" s="45"/>
      <c r="B570" s="50"/>
      <c r="C570" s="46"/>
      <c r="D570" s="46"/>
      <c r="E570" s="46"/>
      <c r="F570" s="47"/>
      <c r="G570" s="47"/>
      <c r="H570" s="47"/>
      <c r="I570" s="47"/>
      <c r="J570" s="47"/>
      <c r="K570" s="47"/>
      <c r="L570" s="47"/>
      <c r="M570" s="47"/>
      <c r="N570" s="47"/>
      <c r="O570" s="47"/>
      <c r="P570" s="47"/>
      <c r="Q570" s="47"/>
      <c r="R570" s="46"/>
      <c r="S570" s="25">
        <f t="shared" si="20"/>
        <v>0</v>
      </c>
      <c r="T570" s="25">
        <f>COUNTIF($V$4:V570,V570)</f>
        <v>381</v>
      </c>
      <c r="U570" s="25" t="str">
        <f>IF(T570=1,COUNTIF($T$4:T570,1),"")</f>
        <v/>
      </c>
      <c r="V570" s="26" t="str">
        <f>'施設状況(要更新)'!$E570&amp;'施設状況(要更新)'!$C570</f>
        <v/>
      </c>
      <c r="W570" s="26">
        <f>'施設状況(要更新)'!$F570</f>
        <v>0</v>
      </c>
      <c r="X570" s="27"/>
      <c r="Y570" s="26"/>
    </row>
    <row r="571" spans="1:25" s="10" customFormat="1" ht="11.25">
      <c r="A571" s="45"/>
      <c r="B571" s="50"/>
      <c r="C571" s="46"/>
      <c r="D571" s="46"/>
      <c r="E571" s="46"/>
      <c r="F571" s="47"/>
      <c r="G571" s="47"/>
      <c r="H571" s="47"/>
      <c r="I571" s="47"/>
      <c r="J571" s="47"/>
      <c r="K571" s="47"/>
      <c r="L571" s="47"/>
      <c r="M571" s="47"/>
      <c r="N571" s="47"/>
      <c r="O571" s="47"/>
      <c r="P571" s="47"/>
      <c r="Q571" s="47"/>
      <c r="R571" s="46"/>
      <c r="S571" s="25">
        <f t="shared" si="20"/>
        <v>0</v>
      </c>
      <c r="T571" s="25">
        <f>COUNTIF($V$4:V571,V571)</f>
        <v>382</v>
      </c>
      <c r="U571" s="25" t="str">
        <f>IF(T571=1,COUNTIF($T$4:T571,1),"")</f>
        <v/>
      </c>
      <c r="V571" s="26" t="str">
        <f>'施設状況(要更新)'!$E571&amp;'施設状況(要更新)'!$C571</f>
        <v/>
      </c>
      <c r="W571" s="26">
        <f>'施設状況(要更新)'!$F571</f>
        <v>0</v>
      </c>
      <c r="X571" s="27"/>
      <c r="Y571" s="26"/>
    </row>
    <row r="572" spans="1:25" s="10" customFormat="1" ht="11.25">
      <c r="A572" s="45"/>
      <c r="B572" s="50"/>
      <c r="C572" s="46"/>
      <c r="D572" s="46"/>
      <c r="E572" s="46"/>
      <c r="F572" s="47"/>
      <c r="G572" s="47"/>
      <c r="H572" s="47"/>
      <c r="I572" s="47"/>
      <c r="J572" s="47"/>
      <c r="K572" s="47"/>
      <c r="L572" s="47"/>
      <c r="M572" s="47"/>
      <c r="N572" s="47"/>
      <c r="O572" s="47"/>
      <c r="P572" s="47"/>
      <c r="Q572" s="47"/>
      <c r="R572" s="46"/>
      <c r="S572" s="25">
        <f t="shared" si="20"/>
        <v>0</v>
      </c>
      <c r="T572" s="25">
        <f>COUNTIF($V$4:V572,V572)</f>
        <v>383</v>
      </c>
      <c r="U572" s="25" t="str">
        <f>IF(T572=1,COUNTIF($T$4:T572,1),"")</f>
        <v/>
      </c>
      <c r="V572" s="26" t="str">
        <f>'施設状況(要更新)'!$E572&amp;'施設状況(要更新)'!$C572</f>
        <v/>
      </c>
      <c r="W572" s="26">
        <f>'施設状況(要更新)'!$F572</f>
        <v>0</v>
      </c>
      <c r="X572" s="27"/>
      <c r="Y572" s="26"/>
    </row>
    <row r="573" spans="1:25" s="10" customFormat="1" ht="11.25">
      <c r="A573" s="45"/>
      <c r="B573" s="50"/>
      <c r="C573" s="46"/>
      <c r="D573" s="46"/>
      <c r="E573" s="46"/>
      <c r="F573" s="47"/>
      <c r="G573" s="47"/>
      <c r="H573" s="47"/>
      <c r="I573" s="47"/>
      <c r="J573" s="47"/>
      <c r="K573" s="47"/>
      <c r="L573" s="47"/>
      <c r="M573" s="47"/>
      <c r="N573" s="47"/>
      <c r="O573" s="47"/>
      <c r="P573" s="47"/>
      <c r="Q573" s="47"/>
      <c r="R573" s="46"/>
      <c r="S573" s="25">
        <f t="shared" si="20"/>
        <v>0</v>
      </c>
      <c r="T573" s="25">
        <f>COUNTIF($V$4:V573,V573)</f>
        <v>384</v>
      </c>
      <c r="U573" s="25" t="str">
        <f>IF(T573=1,COUNTIF($T$4:T573,1),"")</f>
        <v/>
      </c>
      <c r="V573" s="26" t="str">
        <f>'施設状況(要更新)'!$E573&amp;'施設状況(要更新)'!$C573</f>
        <v/>
      </c>
      <c r="W573" s="26">
        <f>'施設状況(要更新)'!$F573</f>
        <v>0</v>
      </c>
      <c r="X573" s="27"/>
      <c r="Y573" s="26"/>
    </row>
    <row r="574" spans="1:25" s="10" customFormat="1" ht="11.25">
      <c r="A574" s="45"/>
      <c r="B574" s="50"/>
      <c r="C574" s="46"/>
      <c r="D574" s="46"/>
      <c r="E574" s="46"/>
      <c r="F574" s="47"/>
      <c r="G574" s="47"/>
      <c r="H574" s="47"/>
      <c r="I574" s="47"/>
      <c r="J574" s="47"/>
      <c r="K574" s="47"/>
      <c r="L574" s="47"/>
      <c r="M574" s="47"/>
      <c r="N574" s="47"/>
      <c r="O574" s="47"/>
      <c r="P574" s="47"/>
      <c r="Q574" s="47"/>
      <c r="R574" s="46"/>
      <c r="S574" s="25">
        <f t="shared" si="20"/>
        <v>0</v>
      </c>
      <c r="T574" s="25">
        <f>COUNTIF($V$4:V574,V574)</f>
        <v>385</v>
      </c>
      <c r="U574" s="25" t="str">
        <f>IF(T574=1,COUNTIF($T$4:T574,1),"")</f>
        <v/>
      </c>
      <c r="V574" s="26" t="str">
        <f>'施設状況(要更新)'!$E574&amp;'施設状況(要更新)'!$C574</f>
        <v/>
      </c>
      <c r="W574" s="26">
        <f>'施設状況(要更新)'!$F574</f>
        <v>0</v>
      </c>
      <c r="X574" s="27"/>
      <c r="Y574" s="26"/>
    </row>
    <row r="575" spans="1:25" s="10" customFormat="1" ht="11.25">
      <c r="A575" s="45"/>
      <c r="B575" s="50"/>
      <c r="C575" s="46"/>
      <c r="D575" s="46"/>
      <c r="E575" s="46"/>
      <c r="F575" s="47"/>
      <c r="G575" s="47"/>
      <c r="H575" s="47"/>
      <c r="I575" s="47"/>
      <c r="J575" s="47"/>
      <c r="K575" s="47"/>
      <c r="L575" s="47"/>
      <c r="M575" s="47"/>
      <c r="N575" s="47"/>
      <c r="O575" s="47"/>
      <c r="P575" s="47"/>
      <c r="Q575" s="47"/>
      <c r="R575" s="46"/>
      <c r="S575" s="25">
        <f t="shared" si="20"/>
        <v>0</v>
      </c>
      <c r="T575" s="25">
        <f>COUNTIF($V$4:V575,V575)</f>
        <v>386</v>
      </c>
      <c r="U575" s="25" t="str">
        <f>IF(T575=1,COUNTIF($T$4:T575,1),"")</f>
        <v/>
      </c>
      <c r="V575" s="26" t="str">
        <f>'施設状況(要更新)'!$E575&amp;'施設状況(要更新)'!$C575</f>
        <v/>
      </c>
      <c r="W575" s="26">
        <f>'施設状況(要更新)'!$F575</f>
        <v>0</v>
      </c>
      <c r="X575" s="27"/>
      <c r="Y575" s="26"/>
    </row>
    <row r="576" spans="1:25" s="10" customFormat="1" ht="11.25">
      <c r="A576" s="45"/>
      <c r="B576" s="50"/>
      <c r="C576" s="46"/>
      <c r="D576" s="46"/>
      <c r="E576" s="46"/>
      <c r="F576" s="47"/>
      <c r="G576" s="47"/>
      <c r="H576" s="47"/>
      <c r="I576" s="47"/>
      <c r="J576" s="47"/>
      <c r="K576" s="47"/>
      <c r="L576" s="47"/>
      <c r="M576" s="47"/>
      <c r="N576" s="47"/>
      <c r="O576" s="47"/>
      <c r="P576" s="47"/>
      <c r="Q576" s="47"/>
      <c r="R576" s="46"/>
      <c r="S576" s="25">
        <f t="shared" si="20"/>
        <v>0</v>
      </c>
      <c r="T576" s="25">
        <f>COUNTIF($V$4:V576,V576)</f>
        <v>387</v>
      </c>
      <c r="U576" s="25" t="str">
        <f>IF(T576=1,COUNTIF($T$4:T576,1),"")</f>
        <v/>
      </c>
      <c r="V576" s="26" t="str">
        <f>'施設状況(要更新)'!$E576&amp;'施設状況(要更新)'!$C576</f>
        <v/>
      </c>
      <c r="W576" s="26">
        <f>'施設状況(要更新)'!$F576</f>
        <v>0</v>
      </c>
      <c r="X576" s="27"/>
      <c r="Y576" s="26"/>
    </row>
    <row r="577" spans="1:25" s="10" customFormat="1" ht="11.25">
      <c r="A577" s="45"/>
      <c r="B577" s="50"/>
      <c r="C577" s="46"/>
      <c r="D577" s="46"/>
      <c r="E577" s="46"/>
      <c r="F577" s="47"/>
      <c r="G577" s="47"/>
      <c r="H577" s="47"/>
      <c r="I577" s="47"/>
      <c r="J577" s="47"/>
      <c r="K577" s="47"/>
      <c r="L577" s="47"/>
      <c r="M577" s="47"/>
      <c r="N577" s="47"/>
      <c r="O577" s="47"/>
      <c r="P577" s="47"/>
      <c r="Q577" s="47"/>
      <c r="R577" s="46"/>
      <c r="S577" s="25">
        <f t="shared" si="20"/>
        <v>0</v>
      </c>
      <c r="T577" s="25">
        <f>COUNTIF($V$4:V577,V577)</f>
        <v>388</v>
      </c>
      <c r="U577" s="25" t="str">
        <f>IF(T577=1,COUNTIF($T$4:T577,1),"")</f>
        <v/>
      </c>
      <c r="V577" s="26" t="str">
        <f>'施設状況(要更新)'!$E577&amp;'施設状況(要更新)'!$C577</f>
        <v/>
      </c>
      <c r="W577" s="26">
        <f>'施設状況(要更新)'!$F577</f>
        <v>0</v>
      </c>
      <c r="X577" s="27"/>
      <c r="Y577" s="26"/>
    </row>
    <row r="578" spans="1:25" s="10" customFormat="1" ht="11.25">
      <c r="A578" s="45"/>
      <c r="B578" s="50"/>
      <c r="C578" s="46"/>
      <c r="D578" s="46"/>
      <c r="E578" s="46"/>
      <c r="F578" s="47"/>
      <c r="G578" s="47"/>
      <c r="H578" s="47"/>
      <c r="I578" s="47"/>
      <c r="J578" s="47"/>
      <c r="K578" s="47"/>
      <c r="L578" s="47"/>
      <c r="M578" s="47"/>
      <c r="N578" s="47"/>
      <c r="O578" s="47"/>
      <c r="P578" s="47"/>
      <c r="Q578" s="47"/>
      <c r="R578" s="46"/>
      <c r="S578" s="25">
        <f t="shared" si="20"/>
        <v>0</v>
      </c>
      <c r="T578" s="25">
        <f>COUNTIF($V$4:V578,V578)</f>
        <v>389</v>
      </c>
      <c r="U578" s="25" t="str">
        <f>IF(T578=1,COUNTIF($T$4:T578,1),"")</f>
        <v/>
      </c>
      <c r="V578" s="26" t="str">
        <f>'施設状況(要更新)'!$E578&amp;'施設状況(要更新)'!$C578</f>
        <v/>
      </c>
      <c r="W578" s="26">
        <f>'施設状況(要更新)'!$F578</f>
        <v>0</v>
      </c>
      <c r="X578" s="27"/>
      <c r="Y578" s="26"/>
    </row>
    <row r="579" spans="1:25" s="10" customFormat="1" ht="11.25">
      <c r="A579" s="45"/>
      <c r="B579" s="50"/>
      <c r="C579" s="46"/>
      <c r="D579" s="46"/>
      <c r="E579" s="46"/>
      <c r="F579" s="47"/>
      <c r="G579" s="47"/>
      <c r="H579" s="47"/>
      <c r="I579" s="47"/>
      <c r="J579" s="47"/>
      <c r="K579" s="47"/>
      <c r="L579" s="47"/>
      <c r="M579" s="47"/>
      <c r="N579" s="47"/>
      <c r="O579" s="47"/>
      <c r="P579" s="47"/>
      <c r="Q579" s="47"/>
      <c r="R579" s="46"/>
      <c r="S579" s="25">
        <f t="shared" si="20"/>
        <v>0</v>
      </c>
      <c r="T579" s="25">
        <f>COUNTIF($V$4:V579,V579)</f>
        <v>390</v>
      </c>
      <c r="U579" s="25" t="str">
        <f>IF(T579=1,COUNTIF($T$4:T579,1),"")</f>
        <v/>
      </c>
      <c r="V579" s="26" t="str">
        <f>'施設状況(要更新)'!$E579&amp;'施設状況(要更新)'!$C579</f>
        <v/>
      </c>
      <c r="W579" s="26">
        <f>'施設状況(要更新)'!$F579</f>
        <v>0</v>
      </c>
      <c r="X579" s="27"/>
      <c r="Y579" s="26"/>
    </row>
    <row r="580" spans="1:25" s="10" customFormat="1" ht="11.25">
      <c r="A580" s="45"/>
      <c r="B580" s="50"/>
      <c r="C580" s="46"/>
      <c r="D580" s="46"/>
      <c r="E580" s="46"/>
      <c r="F580" s="47"/>
      <c r="G580" s="47"/>
      <c r="H580" s="47"/>
      <c r="I580" s="47"/>
      <c r="J580" s="47"/>
      <c r="K580" s="47"/>
      <c r="L580" s="47"/>
      <c r="M580" s="47"/>
      <c r="N580" s="47"/>
      <c r="O580" s="47"/>
      <c r="P580" s="47"/>
      <c r="Q580" s="47"/>
      <c r="R580" s="46"/>
      <c r="S580" s="25">
        <f t="shared" si="20"/>
        <v>0</v>
      </c>
      <c r="T580" s="25">
        <f>COUNTIF($V$4:V580,V580)</f>
        <v>391</v>
      </c>
      <c r="U580" s="25" t="str">
        <f>IF(T580=1,COUNTIF($T$4:T580,1),"")</f>
        <v/>
      </c>
      <c r="V580" s="26" t="str">
        <f>'施設状況(要更新)'!$E580&amp;'施設状況(要更新)'!$C580</f>
        <v/>
      </c>
      <c r="W580" s="26">
        <f>'施設状況(要更新)'!$F580</f>
        <v>0</v>
      </c>
      <c r="X580" s="27"/>
    </row>
    <row r="581" spans="1:25">
      <c r="A581" s="45"/>
      <c r="B581" s="50"/>
      <c r="C581" s="46"/>
      <c r="D581" s="46"/>
      <c r="E581" s="46"/>
      <c r="F581" s="47"/>
      <c r="G581" s="47"/>
      <c r="H581" s="47"/>
      <c r="I581" s="47"/>
      <c r="J581" s="47"/>
      <c r="K581" s="47"/>
      <c r="L581" s="47"/>
      <c r="M581" s="47"/>
      <c r="N581" s="47"/>
      <c r="O581" s="47"/>
      <c r="P581" s="47"/>
      <c r="Q581" s="47"/>
      <c r="R581" s="46"/>
      <c r="S581" s="25">
        <f t="shared" si="20"/>
        <v>0</v>
      </c>
      <c r="T581" s="25">
        <f>COUNTIF($V$4:V581,V581)</f>
        <v>392</v>
      </c>
      <c r="U581" s="25" t="str">
        <f>IF(T581=1,COUNTIF($T$4:T581,1),"")</f>
        <v/>
      </c>
      <c r="V581" s="26" t="str">
        <f>'施設状況(要更新)'!$E581&amp;'施設状況(要更新)'!$C581</f>
        <v/>
      </c>
      <c r="W581" s="26">
        <f>'施設状況(要更新)'!$F581</f>
        <v>0</v>
      </c>
      <c r="X581" s="27"/>
    </row>
    <row r="582" spans="1:25">
      <c r="A582" s="45"/>
      <c r="B582" s="50"/>
      <c r="C582" s="46"/>
      <c r="D582" s="46"/>
      <c r="E582" s="46"/>
      <c r="F582" s="47"/>
      <c r="G582" s="47"/>
      <c r="H582" s="47"/>
      <c r="I582" s="47"/>
      <c r="J582" s="47"/>
      <c r="K582" s="47"/>
      <c r="L582" s="47"/>
      <c r="M582" s="47"/>
      <c r="N582" s="47"/>
      <c r="O582" s="47"/>
      <c r="P582" s="47"/>
      <c r="Q582" s="47"/>
      <c r="R582" s="46"/>
      <c r="S582" s="25">
        <f t="shared" si="20"/>
        <v>0</v>
      </c>
      <c r="T582" s="25">
        <f>COUNTIF($V$4:V582,V582)</f>
        <v>393</v>
      </c>
      <c r="U582" s="25" t="str">
        <f>IF(T582=1,COUNTIF($T$4:T582,1),"")</f>
        <v/>
      </c>
      <c r="V582" s="26" t="str">
        <f>'施設状況(要更新)'!$E582&amp;'施設状況(要更新)'!$C582</f>
        <v/>
      </c>
      <c r="W582" s="26">
        <f>'施設状況(要更新)'!$F582</f>
        <v>0</v>
      </c>
      <c r="X582" s="27"/>
    </row>
    <row r="583" spans="1:25">
      <c r="A583" s="45"/>
      <c r="B583" s="50"/>
      <c r="C583" s="46"/>
      <c r="D583" s="46"/>
      <c r="E583" s="46"/>
      <c r="F583" s="47"/>
      <c r="G583" s="47"/>
      <c r="H583" s="47"/>
      <c r="I583" s="47"/>
      <c r="J583" s="47"/>
      <c r="K583" s="47"/>
      <c r="L583" s="47"/>
      <c r="M583" s="47"/>
      <c r="N583" s="47"/>
      <c r="O583" s="47"/>
      <c r="P583" s="47"/>
      <c r="Q583" s="47"/>
      <c r="R583" s="46"/>
      <c r="S583" s="25">
        <f t="shared" si="20"/>
        <v>0</v>
      </c>
      <c r="T583" s="25">
        <f>COUNTIF($V$4:V583,V583)</f>
        <v>394</v>
      </c>
      <c r="U583" s="25" t="str">
        <f>IF(T583=1,COUNTIF($T$4:T583,1),"")</f>
        <v/>
      </c>
      <c r="V583" s="26" t="str">
        <f>'施設状況(要更新)'!$E583&amp;'施設状況(要更新)'!$C583</f>
        <v/>
      </c>
      <c r="W583" s="26">
        <f>'施設状況(要更新)'!$F583</f>
        <v>0</v>
      </c>
      <c r="X583" s="27"/>
    </row>
    <row r="584" spans="1:25">
      <c r="A584" s="45"/>
      <c r="B584" s="50"/>
      <c r="C584" s="46"/>
      <c r="D584" s="46"/>
      <c r="E584" s="46"/>
      <c r="F584" s="47"/>
      <c r="G584" s="47"/>
      <c r="H584" s="47"/>
      <c r="I584" s="47"/>
      <c r="J584" s="47"/>
      <c r="K584" s="47"/>
      <c r="L584" s="47"/>
      <c r="M584" s="47"/>
      <c r="N584" s="47"/>
      <c r="O584" s="47"/>
      <c r="P584" s="47"/>
      <c r="Q584" s="47"/>
      <c r="R584" s="46"/>
      <c r="S584" s="25">
        <f t="shared" si="20"/>
        <v>0</v>
      </c>
      <c r="T584" s="25">
        <f>COUNTIF($V$4:V584,V584)</f>
        <v>395</v>
      </c>
      <c r="U584" s="25" t="str">
        <f>IF(T584=1,COUNTIF($T$4:T584,1),"")</f>
        <v/>
      </c>
      <c r="V584" s="26" t="str">
        <f>'施設状況(要更新)'!$E584&amp;'施設状況(要更新)'!$C584</f>
        <v/>
      </c>
      <c r="W584" s="26">
        <f>'施設状況(要更新)'!$F584</f>
        <v>0</v>
      </c>
      <c r="X584" s="27"/>
    </row>
    <row r="585" spans="1:25">
      <c r="A585" s="45"/>
      <c r="B585" s="50"/>
      <c r="C585" s="46"/>
      <c r="D585" s="46"/>
      <c r="E585" s="46"/>
      <c r="F585" s="47"/>
      <c r="G585" s="47"/>
      <c r="H585" s="47"/>
      <c r="I585" s="47"/>
      <c r="J585" s="47"/>
      <c r="K585" s="47"/>
      <c r="L585" s="47"/>
      <c r="M585" s="47"/>
      <c r="N585" s="47"/>
      <c r="O585" s="47"/>
      <c r="P585" s="47"/>
      <c r="Q585" s="47"/>
      <c r="R585" s="46"/>
      <c r="S585" s="25">
        <f t="shared" si="20"/>
        <v>0</v>
      </c>
      <c r="T585" s="25">
        <f>COUNTIF($V$4:V585,V585)</f>
        <v>396</v>
      </c>
      <c r="U585" s="25" t="str">
        <f>IF(T585=1,COUNTIF($T$4:T585,1),"")</f>
        <v/>
      </c>
      <c r="V585" s="26" t="str">
        <f>'施設状況(要更新)'!$E585&amp;'施設状況(要更新)'!$C585</f>
        <v/>
      </c>
      <c r="W585" s="26">
        <f>'施設状況(要更新)'!$F585</f>
        <v>0</v>
      </c>
      <c r="X585" s="27"/>
    </row>
    <row r="586" spans="1:25">
      <c r="A586" s="45"/>
      <c r="B586" s="50"/>
      <c r="C586" s="46"/>
      <c r="D586" s="46"/>
      <c r="E586" s="46"/>
      <c r="F586" s="47"/>
      <c r="G586" s="47"/>
      <c r="H586" s="47"/>
      <c r="I586" s="47"/>
      <c r="J586" s="47"/>
      <c r="K586" s="47"/>
      <c r="L586" s="47"/>
      <c r="M586" s="47"/>
      <c r="N586" s="47"/>
      <c r="O586" s="47"/>
      <c r="P586" s="47"/>
      <c r="Q586" s="47"/>
      <c r="R586" s="46"/>
      <c r="S586" s="25">
        <f t="shared" si="20"/>
        <v>0</v>
      </c>
      <c r="T586" s="25">
        <f>COUNTIF($V$4:V586,V586)</f>
        <v>397</v>
      </c>
      <c r="U586" s="25" t="str">
        <f>IF(T586=1,COUNTIF($T$4:T586,1),"")</f>
        <v/>
      </c>
      <c r="V586" s="26" t="str">
        <f>'施設状況(要更新)'!$E586&amp;'施設状況(要更新)'!$C586</f>
        <v/>
      </c>
      <c r="W586" s="26">
        <f>'施設状況(要更新)'!$F586</f>
        <v>0</v>
      </c>
      <c r="X586" s="27"/>
    </row>
    <row r="587" spans="1:25">
      <c r="A587" s="45"/>
      <c r="B587" s="50"/>
      <c r="C587" s="46"/>
      <c r="D587" s="46"/>
      <c r="E587" s="46"/>
      <c r="F587" s="47"/>
      <c r="G587" s="47"/>
      <c r="H587" s="47"/>
      <c r="I587" s="47"/>
      <c r="J587" s="47"/>
      <c r="K587" s="47"/>
      <c r="L587" s="47"/>
      <c r="M587" s="47"/>
      <c r="N587" s="47"/>
      <c r="O587" s="47"/>
      <c r="P587" s="47"/>
      <c r="Q587" s="47"/>
      <c r="R587" s="46"/>
      <c r="S587" s="25">
        <f t="shared" si="20"/>
        <v>0</v>
      </c>
      <c r="T587" s="25">
        <f>COUNTIF($V$4:V587,V587)</f>
        <v>398</v>
      </c>
      <c r="U587" s="25" t="str">
        <f>IF(T587=1,COUNTIF($T$4:T587,1),"")</f>
        <v/>
      </c>
      <c r="V587" s="26" t="str">
        <f>'施設状況(要更新)'!$E587&amp;'施設状況(要更新)'!$C587</f>
        <v/>
      </c>
      <c r="W587" s="26">
        <f>'施設状況(要更新)'!$F587</f>
        <v>0</v>
      </c>
      <c r="X587" s="27"/>
    </row>
    <row r="588" spans="1:25">
      <c r="A588" s="45"/>
      <c r="B588" s="50"/>
      <c r="C588" s="46"/>
      <c r="D588" s="46"/>
      <c r="E588" s="46"/>
      <c r="F588" s="47"/>
      <c r="G588" s="47"/>
      <c r="H588" s="47"/>
      <c r="I588" s="47"/>
      <c r="J588" s="47"/>
      <c r="K588" s="47"/>
      <c r="L588" s="47"/>
      <c r="M588" s="47"/>
      <c r="N588" s="47"/>
      <c r="O588" s="47"/>
      <c r="P588" s="47"/>
      <c r="Q588" s="47"/>
      <c r="R588" s="46"/>
      <c r="S588" s="25">
        <f t="shared" si="20"/>
        <v>0</v>
      </c>
      <c r="T588" s="25">
        <f>COUNTIF($V$4:V588,V588)</f>
        <v>399</v>
      </c>
      <c r="U588" s="25" t="str">
        <f>IF(T588=1,COUNTIF($T$4:T588,1),"")</f>
        <v/>
      </c>
      <c r="V588" s="26" t="str">
        <f>'施設状況(要更新)'!$E588&amp;'施設状況(要更新)'!$C588</f>
        <v/>
      </c>
      <c r="W588" s="26">
        <f>'施設状況(要更新)'!$F588</f>
        <v>0</v>
      </c>
      <c r="X588" s="27"/>
    </row>
    <row r="589" spans="1:25">
      <c r="A589" s="45"/>
      <c r="B589" s="50"/>
      <c r="C589" s="46"/>
      <c r="D589" s="46"/>
      <c r="E589" s="46"/>
      <c r="F589" s="47"/>
      <c r="G589" s="47"/>
      <c r="H589" s="47"/>
      <c r="I589" s="47"/>
      <c r="J589" s="47"/>
      <c r="K589" s="47"/>
      <c r="L589" s="47"/>
      <c r="M589" s="47"/>
      <c r="N589" s="47"/>
      <c r="O589" s="47"/>
      <c r="P589" s="47"/>
      <c r="Q589" s="47"/>
      <c r="R589" s="46"/>
      <c r="S589" s="25">
        <f t="shared" si="20"/>
        <v>0</v>
      </c>
      <c r="T589" s="25">
        <f>COUNTIF($V$4:V589,V589)</f>
        <v>400</v>
      </c>
      <c r="U589" s="25" t="str">
        <f>IF(T589=1,COUNTIF($T$4:T589,1),"")</f>
        <v/>
      </c>
      <c r="V589" s="26" t="str">
        <f>'施設状況(要更新)'!$E589&amp;'施設状況(要更新)'!$C589</f>
        <v/>
      </c>
      <c r="W589" s="26">
        <f>'施設状況(要更新)'!$F589</f>
        <v>0</v>
      </c>
      <c r="X589" s="27"/>
    </row>
    <row r="590" spans="1:25">
      <c r="A590" s="45"/>
      <c r="B590" s="50"/>
      <c r="C590" s="46"/>
      <c r="D590" s="46"/>
      <c r="E590" s="46"/>
      <c r="F590" s="47"/>
      <c r="G590" s="47"/>
      <c r="H590" s="47"/>
      <c r="I590" s="47"/>
      <c r="J590" s="47"/>
      <c r="K590" s="47"/>
      <c r="L590" s="47"/>
      <c r="M590" s="47"/>
      <c r="N590" s="47"/>
      <c r="O590" s="47"/>
      <c r="P590" s="47"/>
      <c r="Q590" s="47"/>
      <c r="R590" s="46"/>
      <c r="S590" s="25">
        <f t="shared" si="20"/>
        <v>0</v>
      </c>
      <c r="T590" s="25">
        <f>COUNTIF($V$4:V590,V590)</f>
        <v>401</v>
      </c>
      <c r="U590" s="25" t="str">
        <f>IF(T590=1,COUNTIF($T$4:T590,1),"")</f>
        <v/>
      </c>
      <c r="V590" s="26" t="str">
        <f>'施設状況(要更新)'!$E590&amp;'施設状況(要更新)'!$C590</f>
        <v/>
      </c>
      <c r="W590" s="26">
        <f>'施設状況(要更新)'!$F590</f>
        <v>0</v>
      </c>
      <c r="X590" s="27"/>
    </row>
    <row r="591" spans="1:25">
      <c r="A591" s="45"/>
      <c r="B591" s="50"/>
      <c r="C591" s="46"/>
      <c r="D591" s="46"/>
      <c r="E591" s="46"/>
      <c r="F591" s="47"/>
      <c r="G591" s="47"/>
      <c r="H591" s="47"/>
      <c r="I591" s="47"/>
      <c r="J591" s="47"/>
      <c r="K591" s="47"/>
      <c r="L591" s="47"/>
      <c r="M591" s="47"/>
      <c r="N591" s="47"/>
      <c r="O591" s="47"/>
      <c r="P591" s="47"/>
      <c r="Q591" s="47"/>
      <c r="R591" s="46"/>
      <c r="S591" s="25">
        <f t="shared" si="20"/>
        <v>0</v>
      </c>
      <c r="T591" s="25">
        <f>COUNTIF($V$4:V591,V591)</f>
        <v>402</v>
      </c>
      <c r="U591" s="25" t="str">
        <f>IF(T591=1,COUNTIF($T$4:T591,1),"")</f>
        <v/>
      </c>
      <c r="V591" s="26" t="str">
        <f>'施設状況(要更新)'!$E591&amp;'施設状況(要更新)'!$C591</f>
        <v/>
      </c>
      <c r="W591" s="26">
        <f>'施設状況(要更新)'!$F591</f>
        <v>0</v>
      </c>
      <c r="X591" s="27"/>
    </row>
    <row r="592" spans="1:25">
      <c r="A592" s="45"/>
      <c r="B592" s="50"/>
      <c r="C592" s="46"/>
      <c r="D592" s="46"/>
      <c r="E592" s="46"/>
      <c r="F592" s="47"/>
      <c r="G592" s="47"/>
      <c r="H592" s="47"/>
      <c r="I592" s="47"/>
      <c r="J592" s="47"/>
      <c r="K592" s="47"/>
      <c r="L592" s="47"/>
      <c r="M592" s="47"/>
      <c r="N592" s="47"/>
      <c r="O592" s="47"/>
      <c r="P592" s="47"/>
      <c r="Q592" s="47"/>
      <c r="R592" s="46"/>
      <c r="S592" s="25">
        <f t="shared" si="20"/>
        <v>0</v>
      </c>
      <c r="T592" s="25">
        <f>COUNTIF($V$4:V592,V592)</f>
        <v>403</v>
      </c>
      <c r="U592" s="25" t="str">
        <f>IF(T592=1,COUNTIF($T$4:T592,1),"")</f>
        <v/>
      </c>
      <c r="V592" s="26" t="str">
        <f>'施設状況(要更新)'!$E592&amp;'施設状況(要更新)'!$C592</f>
        <v/>
      </c>
      <c r="W592" s="26">
        <f>'施設状況(要更新)'!$F592</f>
        <v>0</v>
      </c>
      <c r="X592" s="27"/>
    </row>
    <row r="593" spans="1:24">
      <c r="A593" s="45"/>
      <c r="B593" s="50"/>
      <c r="C593" s="46"/>
      <c r="D593" s="46"/>
      <c r="E593" s="46"/>
      <c r="F593" s="47"/>
      <c r="G593" s="47"/>
      <c r="H593" s="47"/>
      <c r="I593" s="47"/>
      <c r="J593" s="47"/>
      <c r="K593" s="47"/>
      <c r="L593" s="47"/>
      <c r="M593" s="47"/>
      <c r="N593" s="47"/>
      <c r="O593" s="47"/>
      <c r="P593" s="47"/>
      <c r="Q593" s="47"/>
      <c r="R593" s="46"/>
      <c r="S593" s="25">
        <f t="shared" si="20"/>
        <v>0</v>
      </c>
      <c r="T593" s="25">
        <f>COUNTIF($V$4:V593,V593)</f>
        <v>404</v>
      </c>
      <c r="U593" s="25" t="str">
        <f>IF(T593=1,COUNTIF($T$4:T593,1),"")</f>
        <v/>
      </c>
      <c r="V593" s="26" t="str">
        <f>'施設状況(要更新)'!$E593&amp;'施設状況(要更新)'!$C593</f>
        <v/>
      </c>
      <c r="W593" s="26">
        <f>'施設状況(要更新)'!$F593</f>
        <v>0</v>
      </c>
      <c r="X593" s="27"/>
    </row>
    <row r="594" spans="1:24">
      <c r="A594" s="45"/>
      <c r="B594" s="50"/>
      <c r="C594" s="46"/>
      <c r="D594" s="46"/>
      <c r="E594" s="46"/>
      <c r="F594" s="47"/>
      <c r="G594" s="47"/>
      <c r="H594" s="47"/>
      <c r="I594" s="47"/>
      <c r="J594" s="47"/>
      <c r="K594" s="47"/>
      <c r="L594" s="47"/>
      <c r="M594" s="47"/>
      <c r="N594" s="47"/>
      <c r="O594" s="47"/>
      <c r="P594" s="47"/>
      <c r="Q594" s="47"/>
      <c r="R594" s="46"/>
      <c r="S594" s="25">
        <f t="shared" si="20"/>
        <v>0</v>
      </c>
      <c r="T594" s="25">
        <f>COUNTIF($V$4:V594,V594)</f>
        <v>405</v>
      </c>
      <c r="U594" s="25" t="str">
        <f>IF(T594=1,COUNTIF($T$4:T594,1),"")</f>
        <v/>
      </c>
      <c r="V594" s="26" t="str">
        <f>'施設状況(要更新)'!$E594&amp;'施設状況(要更新)'!$C594</f>
        <v/>
      </c>
      <c r="W594" s="26">
        <f>'施設状況(要更新)'!$F594</f>
        <v>0</v>
      </c>
      <c r="X594" s="27"/>
    </row>
    <row r="595" spans="1:24">
      <c r="A595" s="45"/>
      <c r="B595" s="50"/>
      <c r="C595" s="46"/>
      <c r="D595" s="46"/>
      <c r="E595" s="46"/>
      <c r="F595" s="47"/>
      <c r="G595" s="47"/>
      <c r="H595" s="47"/>
      <c r="I595" s="47"/>
      <c r="J595" s="47"/>
      <c r="K595" s="47"/>
      <c r="L595" s="47"/>
      <c r="M595" s="47"/>
      <c r="N595" s="47"/>
      <c r="O595" s="47"/>
      <c r="P595" s="47"/>
      <c r="Q595" s="47"/>
      <c r="R595" s="46"/>
      <c r="S595" s="25">
        <f t="shared" si="20"/>
        <v>0</v>
      </c>
      <c r="T595" s="25">
        <f>COUNTIF($V$4:V595,V595)</f>
        <v>406</v>
      </c>
      <c r="U595" s="25" t="str">
        <f>IF(T595=1,COUNTIF($T$4:T595,1),"")</f>
        <v/>
      </c>
      <c r="V595" s="26" t="str">
        <f>'施設状況(要更新)'!$E595&amp;'施設状況(要更新)'!$C595</f>
        <v/>
      </c>
      <c r="W595" s="26">
        <f>'施設状況(要更新)'!$F595</f>
        <v>0</v>
      </c>
      <c r="X595" s="27"/>
    </row>
    <row r="596" spans="1:24">
      <c r="A596" s="45"/>
      <c r="B596" s="50"/>
      <c r="C596" s="46"/>
      <c r="D596" s="46"/>
      <c r="E596" s="46"/>
      <c r="F596" s="47"/>
      <c r="G596" s="47"/>
      <c r="H596" s="47"/>
      <c r="I596" s="47"/>
      <c r="J596" s="47"/>
      <c r="K596" s="47"/>
      <c r="L596" s="47"/>
      <c r="M596" s="47"/>
      <c r="N596" s="47"/>
      <c r="O596" s="47"/>
      <c r="P596" s="47"/>
      <c r="Q596" s="47"/>
      <c r="R596" s="46"/>
      <c r="S596" s="25">
        <f t="shared" si="20"/>
        <v>0</v>
      </c>
      <c r="T596" s="25">
        <f>COUNTIF($V$4:V596,V596)</f>
        <v>407</v>
      </c>
      <c r="U596" s="25" t="str">
        <f>IF(T596=1,COUNTIF($T$4:T596,1),"")</f>
        <v/>
      </c>
      <c r="V596" s="26" t="str">
        <f>'施設状況(要更新)'!$E596&amp;'施設状況(要更新)'!$C596</f>
        <v/>
      </c>
      <c r="W596" s="26">
        <f>'施設状況(要更新)'!$F596</f>
        <v>0</v>
      </c>
      <c r="X596" s="27"/>
    </row>
    <row r="597" spans="1:24">
      <c r="A597" s="45"/>
      <c r="B597" s="50"/>
      <c r="C597" s="46"/>
      <c r="D597" s="46"/>
      <c r="E597" s="46"/>
      <c r="F597" s="47"/>
      <c r="G597" s="47"/>
      <c r="H597" s="47"/>
      <c r="I597" s="47"/>
      <c r="J597" s="47"/>
      <c r="K597" s="47"/>
      <c r="L597" s="47"/>
      <c r="M597" s="47"/>
      <c r="N597" s="47"/>
      <c r="O597" s="47"/>
      <c r="P597" s="47"/>
      <c r="Q597" s="47"/>
      <c r="R597" s="46"/>
      <c r="S597" s="25">
        <f t="shared" si="20"/>
        <v>0</v>
      </c>
      <c r="T597" s="25">
        <f>COUNTIF($V$4:V597,V597)</f>
        <v>408</v>
      </c>
      <c r="U597" s="25" t="str">
        <f>IF(T597=1,COUNTIF($T$4:T597,1),"")</f>
        <v/>
      </c>
      <c r="V597" s="26" t="str">
        <f>'施設状況(要更新)'!$E597&amp;'施設状況(要更新)'!$C597</f>
        <v/>
      </c>
      <c r="W597" s="26">
        <f>'施設状況(要更新)'!$F597</f>
        <v>0</v>
      </c>
      <c r="X597" s="27"/>
    </row>
    <row r="598" spans="1:24">
      <c r="A598" s="45"/>
      <c r="B598" s="50"/>
      <c r="C598" s="46"/>
      <c r="D598" s="46"/>
      <c r="E598" s="46"/>
      <c r="F598" s="47"/>
      <c r="G598" s="47"/>
      <c r="H598" s="47"/>
      <c r="I598" s="47"/>
      <c r="J598" s="47"/>
      <c r="K598" s="47"/>
      <c r="L598" s="47"/>
      <c r="M598" s="47"/>
      <c r="N598" s="47"/>
      <c r="O598" s="47"/>
      <c r="P598" s="47"/>
      <c r="Q598" s="47"/>
      <c r="R598" s="46"/>
      <c r="S598" s="25">
        <f t="shared" si="20"/>
        <v>0</v>
      </c>
      <c r="T598" s="25">
        <f>COUNTIF($V$4:V598,V598)</f>
        <v>409</v>
      </c>
      <c r="U598" s="25" t="str">
        <f>IF(T598=1,COUNTIF($T$4:T598,1),"")</f>
        <v/>
      </c>
      <c r="V598" s="26" t="str">
        <f>'施設状況(要更新)'!$E598&amp;'施設状況(要更新)'!$C598</f>
        <v/>
      </c>
      <c r="W598" s="26">
        <f>'施設状況(要更新)'!$F598</f>
        <v>0</v>
      </c>
      <c r="X598" s="27"/>
    </row>
    <row r="599" spans="1:24">
      <c r="A599" s="45"/>
      <c r="B599" s="50"/>
      <c r="C599" s="46"/>
      <c r="D599" s="46"/>
      <c r="E599" s="46"/>
      <c r="F599" s="47"/>
      <c r="G599" s="47"/>
      <c r="H599" s="47"/>
      <c r="I599" s="47"/>
      <c r="J599" s="47"/>
      <c r="K599" s="47"/>
      <c r="L599" s="47"/>
      <c r="M599" s="47"/>
      <c r="N599" s="47"/>
      <c r="O599" s="47"/>
      <c r="P599" s="47"/>
      <c r="Q599" s="47"/>
      <c r="R599" s="46"/>
      <c r="S599" s="25">
        <f t="shared" si="20"/>
        <v>0</v>
      </c>
      <c r="T599" s="25">
        <f>COUNTIF($V$4:V599,V599)</f>
        <v>410</v>
      </c>
      <c r="U599" s="25" t="str">
        <f>IF(T599=1,COUNTIF($T$4:T599,1),"")</f>
        <v/>
      </c>
      <c r="V599" s="26" t="str">
        <f>'施設状況(要更新)'!$E599&amp;'施設状況(要更新)'!$C599</f>
        <v/>
      </c>
      <c r="W599" s="26">
        <f>'施設状況(要更新)'!$F599</f>
        <v>0</v>
      </c>
      <c r="X599" s="27"/>
    </row>
    <row r="600" spans="1:24">
      <c r="A600" s="45"/>
      <c r="B600" s="50"/>
      <c r="C600" s="46"/>
      <c r="D600" s="46"/>
      <c r="E600" s="46"/>
      <c r="F600" s="47"/>
      <c r="G600" s="47"/>
      <c r="H600" s="47"/>
      <c r="I600" s="47"/>
      <c r="J600" s="47"/>
      <c r="K600" s="47"/>
      <c r="L600" s="47"/>
      <c r="M600" s="47"/>
      <c r="N600" s="47"/>
      <c r="O600" s="47"/>
      <c r="P600" s="47"/>
      <c r="Q600" s="47"/>
      <c r="R600" s="46"/>
      <c r="S600" s="25">
        <f t="shared" si="20"/>
        <v>0</v>
      </c>
      <c r="T600" s="25">
        <f>COUNTIF($V$4:V600,V600)</f>
        <v>411</v>
      </c>
      <c r="U600" s="25" t="str">
        <f>IF(T600=1,COUNTIF($T$4:T600,1),"")</f>
        <v/>
      </c>
      <c r="V600" s="26" t="str">
        <f>'施設状況(要更新)'!$E600&amp;'施設状況(要更新)'!$C600</f>
        <v/>
      </c>
      <c r="W600" s="26">
        <f>'施設状況(要更新)'!$F600</f>
        <v>0</v>
      </c>
      <c r="X600" s="27"/>
    </row>
    <row r="601" spans="1:24">
      <c r="A601" s="45"/>
      <c r="B601" s="50"/>
      <c r="C601" s="46"/>
      <c r="D601" s="46"/>
      <c r="E601" s="46"/>
      <c r="F601" s="47"/>
      <c r="G601" s="47"/>
      <c r="H601" s="47"/>
      <c r="I601" s="47"/>
      <c r="J601" s="47"/>
      <c r="K601" s="47"/>
      <c r="L601" s="47"/>
      <c r="M601" s="47"/>
      <c r="N601" s="47"/>
      <c r="O601" s="47"/>
      <c r="P601" s="47"/>
      <c r="Q601" s="47"/>
      <c r="R601" s="46"/>
      <c r="S601" s="25">
        <f t="shared" si="20"/>
        <v>0</v>
      </c>
      <c r="T601" s="25">
        <f>COUNTIF($V$4:V601,V601)</f>
        <v>412</v>
      </c>
      <c r="U601" s="25" t="str">
        <f>IF(T601=1,COUNTIF($T$4:T601,1),"")</f>
        <v/>
      </c>
      <c r="V601" s="26" t="str">
        <f>'施設状況(要更新)'!$E601&amp;'施設状況(要更新)'!$C601</f>
        <v/>
      </c>
      <c r="W601" s="26">
        <f>'施設状況(要更新)'!$F601</f>
        <v>0</v>
      </c>
      <c r="X601" s="27"/>
    </row>
    <row r="602" spans="1:24">
      <c r="A602" s="45"/>
      <c r="B602" s="50"/>
      <c r="C602" s="46"/>
      <c r="D602" s="46"/>
      <c r="E602" s="46"/>
      <c r="F602" s="47"/>
      <c r="G602" s="47"/>
      <c r="H602" s="47"/>
      <c r="I602" s="47"/>
      <c r="J602" s="47"/>
      <c r="K602" s="47"/>
      <c r="L602" s="47"/>
      <c r="M602" s="47"/>
      <c r="N602" s="47"/>
      <c r="O602" s="47"/>
      <c r="P602" s="47"/>
      <c r="Q602" s="47"/>
      <c r="R602" s="46"/>
      <c r="S602" s="25">
        <f t="shared" si="20"/>
        <v>0</v>
      </c>
      <c r="T602" s="25">
        <f>COUNTIF($V$4:V602,V602)</f>
        <v>413</v>
      </c>
      <c r="U602" s="25" t="str">
        <f>IF(T602=1,COUNTIF($T$4:T602,1),"")</f>
        <v/>
      </c>
      <c r="V602" s="26" t="str">
        <f>'施設状況(要更新)'!$E602&amp;'施設状況(要更新)'!$C602</f>
        <v/>
      </c>
      <c r="W602" s="26">
        <f>'施設状況(要更新)'!$F602</f>
        <v>0</v>
      </c>
      <c r="X602" s="27"/>
    </row>
    <row r="603" spans="1:24">
      <c r="A603" s="45"/>
      <c r="B603" s="50"/>
      <c r="C603" s="46"/>
      <c r="D603" s="46"/>
      <c r="E603" s="46"/>
      <c r="F603" s="47"/>
      <c r="G603" s="47"/>
      <c r="H603" s="47"/>
      <c r="I603" s="47"/>
      <c r="J603" s="47"/>
      <c r="K603" s="47"/>
      <c r="L603" s="47"/>
      <c r="M603" s="47"/>
      <c r="N603" s="47"/>
      <c r="O603" s="47"/>
      <c r="P603" s="47"/>
      <c r="Q603" s="47"/>
      <c r="R603" s="46"/>
      <c r="S603" s="25">
        <f t="shared" si="20"/>
        <v>0</v>
      </c>
      <c r="T603" s="25">
        <f>COUNTIF($V$4:V603,V603)</f>
        <v>414</v>
      </c>
      <c r="U603" s="25" t="str">
        <f>IF(T603=1,COUNTIF($T$4:T603,1),"")</f>
        <v/>
      </c>
      <c r="V603" s="26" t="str">
        <f>'施設状況(要更新)'!$E603&amp;'施設状況(要更新)'!$C603</f>
        <v/>
      </c>
      <c r="W603" s="26">
        <f>'施設状況(要更新)'!$F603</f>
        <v>0</v>
      </c>
      <c r="X603" s="27"/>
    </row>
    <row r="604" spans="1:24">
      <c r="A604" s="45"/>
      <c r="B604" s="50"/>
      <c r="C604" s="46"/>
      <c r="D604" s="46"/>
      <c r="E604" s="46"/>
      <c r="F604" s="47"/>
      <c r="G604" s="47"/>
      <c r="H604" s="47"/>
      <c r="I604" s="47"/>
      <c r="J604" s="47"/>
      <c r="K604" s="47"/>
      <c r="L604" s="47"/>
      <c r="M604" s="47"/>
      <c r="N604" s="47"/>
      <c r="O604" s="47"/>
      <c r="P604" s="47"/>
      <c r="Q604" s="47"/>
      <c r="R604" s="46"/>
      <c r="S604" s="25">
        <f t="shared" si="20"/>
        <v>0</v>
      </c>
      <c r="T604" s="25">
        <f>COUNTIF($V$4:V604,V604)</f>
        <v>415</v>
      </c>
      <c r="U604" s="25" t="str">
        <f>IF(T604=1,COUNTIF($T$4:T604,1),"")</f>
        <v/>
      </c>
      <c r="V604" s="26" t="str">
        <f>'施設状況(要更新)'!$E604&amp;'施設状況(要更新)'!$C604</f>
        <v/>
      </c>
      <c r="W604" s="26">
        <f>'施設状況(要更新)'!$F604</f>
        <v>0</v>
      </c>
      <c r="X604" s="27"/>
    </row>
    <row r="605" spans="1:24">
      <c r="A605" s="45"/>
      <c r="B605" s="50"/>
      <c r="C605" s="46"/>
      <c r="D605" s="46"/>
      <c r="E605" s="46"/>
      <c r="F605" s="47"/>
      <c r="G605" s="47"/>
      <c r="H605" s="47"/>
      <c r="I605" s="47"/>
      <c r="J605" s="47"/>
      <c r="K605" s="47"/>
      <c r="L605" s="47"/>
      <c r="M605" s="47"/>
      <c r="N605" s="47"/>
      <c r="O605" s="47"/>
      <c r="P605" s="47"/>
      <c r="Q605" s="47"/>
      <c r="R605" s="46"/>
      <c r="S605" s="25">
        <f t="shared" si="20"/>
        <v>0</v>
      </c>
      <c r="T605" s="25">
        <f>COUNTIF($V$4:V605,V605)</f>
        <v>416</v>
      </c>
      <c r="U605" s="25" t="str">
        <f>IF(T605=1,COUNTIF($T$4:T605,1),"")</f>
        <v/>
      </c>
      <c r="V605" s="26" t="str">
        <f>'施設状況(要更新)'!$E605&amp;'施設状況(要更新)'!$C605</f>
        <v/>
      </c>
      <c r="W605" s="26">
        <f>'施設状況(要更新)'!$F605</f>
        <v>0</v>
      </c>
      <c r="X605" s="27"/>
    </row>
    <row r="606" spans="1:24">
      <c r="A606" s="45"/>
      <c r="B606" s="50"/>
      <c r="C606" s="46"/>
      <c r="D606" s="46"/>
      <c r="E606" s="46"/>
      <c r="F606" s="47"/>
      <c r="G606" s="47"/>
      <c r="H606" s="47"/>
      <c r="I606" s="47"/>
      <c r="J606" s="47"/>
      <c r="K606" s="47"/>
      <c r="L606" s="47"/>
      <c r="M606" s="47"/>
      <c r="N606" s="47"/>
      <c r="O606" s="47"/>
      <c r="P606" s="47"/>
      <c r="Q606" s="47"/>
      <c r="R606" s="46"/>
      <c r="S606" s="25">
        <f t="shared" si="20"/>
        <v>0</v>
      </c>
      <c r="T606" s="25">
        <f>COUNTIF($V$4:V606,V606)</f>
        <v>417</v>
      </c>
      <c r="U606" s="25" t="str">
        <f>IF(T606=1,COUNTIF($T$4:T606,1),"")</f>
        <v/>
      </c>
      <c r="V606" s="26" t="str">
        <f>'施設状況(要更新)'!$E606&amp;'施設状況(要更新)'!$C606</f>
        <v/>
      </c>
      <c r="W606" s="26">
        <f>'施設状況(要更新)'!$F606</f>
        <v>0</v>
      </c>
      <c r="X606" s="27"/>
    </row>
    <row r="607" spans="1:24">
      <c r="A607" s="45"/>
      <c r="B607" s="50"/>
      <c r="C607" s="46"/>
      <c r="D607" s="46"/>
      <c r="E607" s="46"/>
      <c r="F607" s="47"/>
      <c r="G607" s="47"/>
      <c r="H607" s="47"/>
      <c r="I607" s="47"/>
      <c r="J607" s="47"/>
      <c r="K607" s="47"/>
      <c r="L607" s="47"/>
      <c r="M607" s="47"/>
      <c r="N607" s="47"/>
      <c r="O607" s="47"/>
      <c r="P607" s="47"/>
      <c r="Q607" s="47"/>
      <c r="R607" s="46"/>
      <c r="S607" s="25">
        <f t="shared" si="20"/>
        <v>0</v>
      </c>
      <c r="T607" s="25">
        <f>COUNTIF($V$4:V607,V607)</f>
        <v>418</v>
      </c>
      <c r="U607" s="25" t="str">
        <f>IF(T607=1,COUNTIF($T$4:T607,1),"")</f>
        <v/>
      </c>
      <c r="V607" s="26" t="str">
        <f>'施設状況(要更新)'!$E607&amp;'施設状況(要更新)'!$C607</f>
        <v/>
      </c>
      <c r="W607" s="26">
        <f>'施設状況(要更新)'!$F607</f>
        <v>0</v>
      </c>
      <c r="X607" s="27"/>
    </row>
    <row r="608" spans="1:24">
      <c r="A608" s="45"/>
      <c r="B608" s="50"/>
      <c r="C608" s="46"/>
      <c r="D608" s="46"/>
      <c r="E608" s="46"/>
      <c r="F608" s="47"/>
      <c r="G608" s="47"/>
      <c r="H608" s="47"/>
      <c r="I608" s="47"/>
      <c r="J608" s="47"/>
      <c r="K608" s="47"/>
      <c r="L608" s="47"/>
      <c r="M608" s="47"/>
      <c r="N608" s="47"/>
      <c r="O608" s="47"/>
      <c r="P608" s="47"/>
      <c r="Q608" s="47"/>
      <c r="R608" s="46"/>
      <c r="S608" s="25">
        <f t="shared" si="20"/>
        <v>0</v>
      </c>
      <c r="T608" s="25">
        <f>COUNTIF($V$4:V608,V608)</f>
        <v>419</v>
      </c>
      <c r="U608" s="25" t="str">
        <f>IF(T608=1,COUNTIF($T$4:T608,1),"")</f>
        <v/>
      </c>
      <c r="V608" s="26" t="str">
        <f>'施設状況(要更新)'!$E608&amp;'施設状況(要更新)'!$C608</f>
        <v/>
      </c>
      <c r="W608" s="26">
        <f>'施設状況(要更新)'!$F608</f>
        <v>0</v>
      </c>
      <c r="X608" s="27"/>
    </row>
    <row r="609" spans="1:24">
      <c r="A609" s="45"/>
      <c r="B609" s="50"/>
      <c r="C609" s="46"/>
      <c r="D609" s="46"/>
      <c r="E609" s="46"/>
      <c r="F609" s="47"/>
      <c r="G609" s="47"/>
      <c r="H609" s="47"/>
      <c r="I609" s="47"/>
      <c r="J609" s="47"/>
      <c r="K609" s="47"/>
      <c r="L609" s="47"/>
      <c r="M609" s="47"/>
      <c r="N609" s="47"/>
      <c r="O609" s="47"/>
      <c r="P609" s="47"/>
      <c r="Q609" s="47"/>
      <c r="R609" s="46"/>
      <c r="S609" s="25">
        <f t="shared" si="20"/>
        <v>0</v>
      </c>
      <c r="T609" s="25">
        <f>COUNTIF($V$4:V609,V609)</f>
        <v>420</v>
      </c>
      <c r="U609" s="25" t="str">
        <f>IF(T609=1,COUNTIF($T$4:T609,1),"")</f>
        <v/>
      </c>
      <c r="V609" s="26" t="str">
        <f>'施設状況(要更新)'!$E609&amp;'施設状況(要更新)'!$C609</f>
        <v/>
      </c>
      <c r="W609" s="26">
        <f>'施設状況(要更新)'!$F609</f>
        <v>0</v>
      </c>
      <c r="X609" s="27"/>
    </row>
    <row r="610" spans="1:24">
      <c r="A610" s="45"/>
      <c r="B610" s="50"/>
      <c r="C610" s="46"/>
      <c r="D610" s="46"/>
      <c r="E610" s="46"/>
      <c r="F610" s="47"/>
      <c r="G610" s="47"/>
      <c r="H610" s="47"/>
      <c r="I610" s="47"/>
      <c r="J610" s="47"/>
      <c r="K610" s="47"/>
      <c r="L610" s="47"/>
      <c r="M610" s="47"/>
      <c r="N610" s="47"/>
      <c r="O610" s="47"/>
      <c r="P610" s="47"/>
      <c r="Q610" s="47"/>
      <c r="R610" s="46"/>
      <c r="S610" s="25">
        <f t="shared" si="20"/>
        <v>0</v>
      </c>
      <c r="T610" s="25">
        <f>COUNTIF($V$4:V610,V610)</f>
        <v>421</v>
      </c>
      <c r="U610" s="25" t="str">
        <f>IF(T610=1,COUNTIF($T$4:T610,1),"")</f>
        <v/>
      </c>
      <c r="V610" s="26" t="str">
        <f>'施設状況(要更新)'!$E610&amp;'施設状況(要更新)'!$C610</f>
        <v/>
      </c>
      <c r="W610" s="26">
        <f>'施設状況(要更新)'!$F610</f>
        <v>0</v>
      </c>
      <c r="X610" s="27"/>
    </row>
    <row r="611" spans="1:24">
      <c r="A611" s="45"/>
      <c r="B611" s="50"/>
      <c r="C611" s="46"/>
      <c r="D611" s="46"/>
      <c r="E611" s="46"/>
      <c r="F611" s="47"/>
      <c r="G611" s="47"/>
      <c r="H611" s="47"/>
      <c r="I611" s="47"/>
      <c r="J611" s="47"/>
      <c r="K611" s="47"/>
      <c r="L611" s="47"/>
      <c r="M611" s="47"/>
      <c r="N611" s="47"/>
      <c r="O611" s="47"/>
      <c r="P611" s="47"/>
      <c r="Q611" s="47"/>
      <c r="R611" s="46"/>
      <c r="S611" s="25">
        <f t="shared" si="20"/>
        <v>0</v>
      </c>
      <c r="T611" s="25">
        <f>COUNTIF($V$4:V611,V611)</f>
        <v>422</v>
      </c>
      <c r="U611" s="25" t="str">
        <f>IF(T611=1,COUNTIF($T$4:T611,1),"")</f>
        <v/>
      </c>
      <c r="V611" s="26" t="str">
        <f>'施設状況(要更新)'!$E611&amp;'施設状況(要更新)'!$C611</f>
        <v/>
      </c>
      <c r="W611" s="26">
        <f>'施設状況(要更新)'!$F611</f>
        <v>0</v>
      </c>
      <c r="X611" s="27"/>
    </row>
    <row r="612" spans="1:24">
      <c r="A612" s="45"/>
      <c r="B612" s="50"/>
      <c r="C612" s="46"/>
      <c r="D612" s="46"/>
      <c r="E612" s="46"/>
      <c r="F612" s="47"/>
      <c r="G612" s="47"/>
      <c r="H612" s="47"/>
      <c r="I612" s="47"/>
      <c r="J612" s="47"/>
      <c r="K612" s="47"/>
      <c r="L612" s="47"/>
      <c r="M612" s="47"/>
      <c r="N612" s="47"/>
      <c r="O612" s="47"/>
      <c r="P612" s="47"/>
      <c r="Q612" s="47"/>
      <c r="R612" s="46"/>
      <c r="S612" s="25">
        <f t="shared" si="20"/>
        <v>0</v>
      </c>
      <c r="T612" s="25">
        <f>COUNTIF($V$4:V612,V612)</f>
        <v>423</v>
      </c>
      <c r="U612" s="25" t="str">
        <f>IF(T612=1,COUNTIF($T$4:T612,1),"")</f>
        <v/>
      </c>
      <c r="V612" s="26" t="str">
        <f>'施設状況(要更新)'!$E612&amp;'施設状況(要更新)'!$C612</f>
        <v/>
      </c>
      <c r="W612" s="26">
        <f>'施設状況(要更新)'!$F612</f>
        <v>0</v>
      </c>
      <c r="X612" s="27"/>
    </row>
    <row r="613" spans="1:24">
      <c r="A613" s="45"/>
      <c r="B613" s="50"/>
      <c r="C613" s="46"/>
      <c r="D613" s="46"/>
      <c r="E613" s="46"/>
      <c r="F613" s="47"/>
      <c r="G613" s="47"/>
      <c r="H613" s="47"/>
      <c r="I613" s="47"/>
      <c r="J613" s="47"/>
      <c r="K613" s="47"/>
      <c r="L613" s="47"/>
      <c r="M613" s="47"/>
      <c r="N613" s="47"/>
      <c r="O613" s="47"/>
      <c r="P613" s="47"/>
      <c r="Q613" s="47"/>
      <c r="R613" s="46"/>
      <c r="S613" s="25">
        <f t="shared" si="20"/>
        <v>0</v>
      </c>
      <c r="T613" s="25">
        <f>COUNTIF($V$4:V613,V613)</f>
        <v>424</v>
      </c>
      <c r="U613" s="25" t="str">
        <f>IF(T613=1,COUNTIF($T$4:T613,1),"")</f>
        <v/>
      </c>
      <c r="V613" s="26" t="str">
        <f>'施設状況(要更新)'!$E613&amp;'施設状況(要更新)'!$C613</f>
        <v/>
      </c>
      <c r="W613" s="26">
        <f>'施設状況(要更新)'!$F613</f>
        <v>0</v>
      </c>
      <c r="X613" s="27"/>
    </row>
    <row r="614" spans="1:24">
      <c r="A614" s="45"/>
      <c r="B614" s="50"/>
      <c r="C614" s="46"/>
      <c r="D614" s="46"/>
      <c r="E614" s="46"/>
      <c r="F614" s="47"/>
      <c r="G614" s="47"/>
      <c r="H614" s="47"/>
      <c r="I614" s="47"/>
      <c r="J614" s="47"/>
      <c r="K614" s="47"/>
      <c r="L614" s="47"/>
      <c r="M614" s="47"/>
      <c r="N614" s="47"/>
      <c r="O614" s="47"/>
      <c r="P614" s="47"/>
      <c r="Q614" s="47"/>
      <c r="R614" s="46"/>
      <c r="S614" s="25">
        <f t="shared" si="20"/>
        <v>0</v>
      </c>
      <c r="T614" s="25">
        <f>COUNTIF($V$4:V614,V614)</f>
        <v>425</v>
      </c>
      <c r="U614" s="25" t="str">
        <f>IF(T614=1,COUNTIF($T$4:T614,1),"")</f>
        <v/>
      </c>
      <c r="V614" s="26" t="str">
        <f>'施設状況(要更新)'!$E614&amp;'施設状況(要更新)'!$C614</f>
        <v/>
      </c>
      <c r="W614" s="26">
        <f>'施設状況(要更新)'!$F614</f>
        <v>0</v>
      </c>
      <c r="X614" s="27"/>
    </row>
    <row r="615" spans="1:24">
      <c r="A615" s="45"/>
      <c r="B615" s="50"/>
      <c r="C615" s="46"/>
      <c r="D615" s="46"/>
      <c r="E615" s="46"/>
      <c r="F615" s="47"/>
      <c r="G615" s="47"/>
      <c r="H615" s="47"/>
      <c r="I615" s="47"/>
      <c r="J615" s="47"/>
      <c r="K615" s="47"/>
      <c r="L615" s="47"/>
      <c r="M615" s="47"/>
      <c r="N615" s="47"/>
      <c r="O615" s="47"/>
      <c r="P615" s="47"/>
      <c r="Q615" s="47"/>
      <c r="R615" s="46"/>
      <c r="S615" s="25">
        <f t="shared" si="20"/>
        <v>0</v>
      </c>
      <c r="T615" s="25">
        <f>COUNTIF($V$4:V615,V615)</f>
        <v>426</v>
      </c>
      <c r="U615" s="25" t="str">
        <f>IF(T615=1,COUNTIF($T$4:T615,1),"")</f>
        <v/>
      </c>
      <c r="V615" s="26" t="str">
        <f>'施設状況(要更新)'!$E615&amp;'施設状況(要更新)'!$C615</f>
        <v/>
      </c>
      <c r="W615" s="26">
        <f>'施設状況(要更新)'!$F615</f>
        <v>0</v>
      </c>
      <c r="X615" s="27"/>
    </row>
    <row r="616" spans="1:24">
      <c r="A616" s="45"/>
      <c r="B616" s="50"/>
      <c r="C616" s="46"/>
      <c r="D616" s="46"/>
      <c r="E616" s="46"/>
      <c r="F616" s="47"/>
      <c r="G616" s="47"/>
      <c r="H616" s="47"/>
      <c r="I616" s="47"/>
      <c r="J616" s="47"/>
      <c r="K616" s="47"/>
      <c r="L616" s="47"/>
      <c r="M616" s="47"/>
      <c r="N616" s="47"/>
      <c r="O616" s="47"/>
      <c r="P616" s="47"/>
      <c r="Q616" s="47"/>
      <c r="R616" s="46"/>
      <c r="S616" s="25">
        <f t="shared" si="20"/>
        <v>0</v>
      </c>
      <c r="T616" s="25">
        <f>COUNTIF($V$4:V616,V616)</f>
        <v>427</v>
      </c>
      <c r="U616" s="25" t="str">
        <f>IF(T616=1,COUNTIF($T$4:T616,1),"")</f>
        <v/>
      </c>
      <c r="V616" s="26" t="str">
        <f>'施設状況(要更新)'!$E616&amp;'施設状況(要更新)'!$C616</f>
        <v/>
      </c>
      <c r="W616" s="26">
        <f>'施設状況(要更新)'!$F616</f>
        <v>0</v>
      </c>
      <c r="X616" s="27"/>
    </row>
    <row r="617" spans="1:24">
      <c r="A617" s="45"/>
      <c r="B617" s="50"/>
      <c r="C617" s="46"/>
      <c r="D617" s="46"/>
      <c r="E617" s="46"/>
      <c r="F617" s="47"/>
      <c r="G617" s="47"/>
      <c r="H617" s="47"/>
      <c r="I617" s="47"/>
      <c r="J617" s="47"/>
      <c r="K617" s="47"/>
      <c r="L617" s="47"/>
      <c r="M617" s="47"/>
      <c r="N617" s="47"/>
      <c r="O617" s="47"/>
      <c r="P617" s="47"/>
      <c r="Q617" s="47"/>
      <c r="R617" s="46"/>
      <c r="S617" s="25">
        <f t="shared" si="20"/>
        <v>0</v>
      </c>
      <c r="T617" s="25">
        <f>COUNTIF($V$4:V617,V617)</f>
        <v>428</v>
      </c>
      <c r="U617" s="25" t="str">
        <f>IF(T617=1,COUNTIF($T$4:T617,1),"")</f>
        <v/>
      </c>
      <c r="V617" s="26" t="str">
        <f>'施設状況(要更新)'!$E617&amp;'施設状況(要更新)'!$C617</f>
        <v/>
      </c>
      <c r="W617" s="26">
        <f>'施設状況(要更新)'!$F617</f>
        <v>0</v>
      </c>
      <c r="X617" s="27"/>
    </row>
    <row r="618" spans="1:24">
      <c r="A618" s="45"/>
      <c r="B618" s="50"/>
      <c r="C618" s="46"/>
      <c r="D618" s="46"/>
      <c r="E618" s="46"/>
      <c r="F618" s="47"/>
      <c r="G618" s="47"/>
      <c r="H618" s="47"/>
      <c r="I618" s="47"/>
      <c r="J618" s="47"/>
      <c r="K618" s="47"/>
      <c r="L618" s="47"/>
      <c r="M618" s="47"/>
      <c r="N618" s="47"/>
      <c r="O618" s="47"/>
      <c r="P618" s="47"/>
      <c r="Q618" s="47"/>
      <c r="R618" s="46"/>
      <c r="S618" s="25">
        <f t="shared" si="20"/>
        <v>0</v>
      </c>
      <c r="T618" s="25">
        <f>COUNTIF($V$4:V618,V618)</f>
        <v>429</v>
      </c>
      <c r="U618" s="25" t="str">
        <f>IF(T618=1,COUNTIF($T$4:T618,1),"")</f>
        <v/>
      </c>
      <c r="V618" s="26" t="str">
        <f>'施設状況(要更新)'!$E618&amp;'施設状況(要更新)'!$C618</f>
        <v/>
      </c>
      <c r="W618" s="26">
        <f>'施設状況(要更新)'!$F618</f>
        <v>0</v>
      </c>
      <c r="X618" s="27"/>
    </row>
    <row r="619" spans="1:24">
      <c r="A619" s="45"/>
      <c r="B619" s="50"/>
      <c r="C619" s="46"/>
      <c r="D619" s="46"/>
      <c r="E619" s="46"/>
      <c r="F619" s="47"/>
      <c r="G619" s="47"/>
      <c r="H619" s="47"/>
      <c r="I619" s="47"/>
      <c r="J619" s="47"/>
      <c r="K619" s="47"/>
      <c r="L619" s="47"/>
      <c r="M619" s="47"/>
      <c r="N619" s="47"/>
      <c r="O619" s="47"/>
      <c r="P619" s="47"/>
      <c r="Q619" s="47"/>
      <c r="R619" s="46"/>
      <c r="S619" s="25">
        <f t="shared" si="20"/>
        <v>0</v>
      </c>
      <c r="T619" s="25">
        <f>COUNTIF($V$4:V619,V619)</f>
        <v>430</v>
      </c>
      <c r="U619" s="25" t="str">
        <f>IF(T619=1,COUNTIF($T$4:T619,1),"")</f>
        <v/>
      </c>
      <c r="V619" s="26" t="str">
        <f>'施設状況(要更新)'!$E619&amp;'施設状況(要更新)'!$C619</f>
        <v/>
      </c>
      <c r="W619" s="26">
        <f>'施設状況(要更新)'!$F619</f>
        <v>0</v>
      </c>
      <c r="X619" s="27"/>
    </row>
    <row r="620" spans="1:24">
      <c r="A620" s="45"/>
      <c r="B620" s="50"/>
      <c r="C620" s="46"/>
      <c r="D620" s="46"/>
      <c r="E620" s="46"/>
      <c r="F620" s="47"/>
      <c r="G620" s="47"/>
      <c r="H620" s="47"/>
      <c r="I620" s="47"/>
      <c r="J620" s="47"/>
      <c r="K620" s="47"/>
      <c r="L620" s="47"/>
      <c r="M620" s="47"/>
      <c r="N620" s="47"/>
      <c r="O620" s="47"/>
      <c r="P620" s="47"/>
      <c r="Q620" s="47"/>
      <c r="R620" s="46"/>
      <c r="S620" s="25">
        <f t="shared" si="20"/>
        <v>0</v>
      </c>
      <c r="T620" s="25">
        <f>COUNTIF($V$4:V620,V620)</f>
        <v>431</v>
      </c>
      <c r="U620" s="25" t="str">
        <f>IF(T620=1,COUNTIF($T$4:T620,1),"")</f>
        <v/>
      </c>
      <c r="V620" s="26" t="str">
        <f>'施設状況(要更新)'!$E620&amp;'施設状況(要更新)'!$C620</f>
        <v/>
      </c>
      <c r="W620" s="26">
        <f>'施設状況(要更新)'!$F620</f>
        <v>0</v>
      </c>
      <c r="X620" s="27"/>
    </row>
    <row r="621" spans="1:24">
      <c r="A621" s="45"/>
      <c r="B621" s="50"/>
      <c r="C621" s="46"/>
      <c r="D621" s="46"/>
      <c r="E621" s="46"/>
      <c r="F621" s="47"/>
      <c r="G621" s="47"/>
      <c r="H621" s="47"/>
      <c r="I621" s="47"/>
      <c r="J621" s="47"/>
      <c r="K621" s="47"/>
      <c r="L621" s="47"/>
      <c r="M621" s="47"/>
      <c r="N621" s="47"/>
      <c r="O621" s="47"/>
      <c r="P621" s="47"/>
      <c r="Q621" s="47"/>
      <c r="R621" s="46"/>
      <c r="S621" s="25">
        <f t="shared" si="20"/>
        <v>0</v>
      </c>
      <c r="T621" s="25">
        <f>COUNTIF($V$4:V621,V621)</f>
        <v>432</v>
      </c>
      <c r="U621" s="25" t="str">
        <f>IF(T621=1,COUNTIF($T$4:T621,1),"")</f>
        <v/>
      </c>
      <c r="V621" s="26" t="str">
        <f>'施設状況(要更新)'!$E621&amp;'施設状況(要更新)'!$C621</f>
        <v/>
      </c>
      <c r="W621" s="26">
        <f>'施設状況(要更新)'!$F621</f>
        <v>0</v>
      </c>
      <c r="X621" s="27"/>
    </row>
    <row r="622" spans="1:24">
      <c r="A622" s="45"/>
      <c r="B622" s="50"/>
      <c r="C622" s="46"/>
      <c r="D622" s="46"/>
      <c r="E622" s="46"/>
      <c r="F622" s="47"/>
      <c r="G622" s="47"/>
      <c r="H622" s="47"/>
      <c r="I622" s="47"/>
      <c r="J622" s="47"/>
      <c r="K622" s="47"/>
      <c r="L622" s="47"/>
      <c r="M622" s="47"/>
      <c r="N622" s="47"/>
      <c r="O622" s="47"/>
      <c r="P622" s="47"/>
      <c r="Q622" s="47"/>
      <c r="R622" s="46"/>
      <c r="S622" s="25">
        <f t="shared" si="20"/>
        <v>0</v>
      </c>
      <c r="T622" s="25">
        <f>COUNTIF($V$4:V622,V622)</f>
        <v>433</v>
      </c>
      <c r="U622" s="25" t="str">
        <f>IF(T622=1,COUNTIF($T$4:T622,1),"")</f>
        <v/>
      </c>
      <c r="V622" s="26" t="str">
        <f>'施設状況(要更新)'!$E622&amp;'施設状況(要更新)'!$C622</f>
        <v/>
      </c>
      <c r="W622" s="26">
        <f>'施設状況(要更新)'!$F622</f>
        <v>0</v>
      </c>
      <c r="X622" s="27"/>
    </row>
    <row r="623" spans="1:24">
      <c r="A623" s="45"/>
      <c r="B623" s="50"/>
      <c r="C623" s="46"/>
      <c r="D623" s="46"/>
      <c r="E623" s="46"/>
      <c r="F623" s="47"/>
      <c r="G623" s="47"/>
      <c r="H623" s="47"/>
      <c r="I623" s="47"/>
      <c r="J623" s="47"/>
      <c r="K623" s="47"/>
      <c r="L623" s="47"/>
      <c r="M623" s="47"/>
      <c r="N623" s="47"/>
      <c r="O623" s="47"/>
      <c r="P623" s="47"/>
      <c r="Q623" s="47"/>
      <c r="R623" s="46"/>
      <c r="S623" s="25">
        <f t="shared" ref="S623:S678" si="21">A623</f>
        <v>0</v>
      </c>
      <c r="T623" s="25">
        <f>COUNTIF($V$4:V623,V623)</f>
        <v>434</v>
      </c>
      <c r="U623" s="25" t="str">
        <f>IF(T623=1,COUNTIF($T$4:T623,1),"")</f>
        <v/>
      </c>
      <c r="V623" s="26" t="str">
        <f>'施設状況(要更新)'!$E623&amp;'施設状況(要更新)'!$C623</f>
        <v/>
      </c>
      <c r="W623" s="26">
        <f>'施設状況(要更新)'!$F623</f>
        <v>0</v>
      </c>
      <c r="X623" s="27"/>
    </row>
    <row r="624" spans="1:24">
      <c r="A624" s="45"/>
      <c r="B624" s="50"/>
      <c r="C624" s="46"/>
      <c r="D624" s="46"/>
      <c r="E624" s="46"/>
      <c r="F624" s="47"/>
      <c r="G624" s="47"/>
      <c r="H624" s="47"/>
      <c r="I624" s="47"/>
      <c r="J624" s="47"/>
      <c r="K624" s="47"/>
      <c r="L624" s="47"/>
      <c r="M624" s="47"/>
      <c r="N624" s="47"/>
      <c r="O624" s="47"/>
      <c r="P624" s="47"/>
      <c r="Q624" s="47"/>
      <c r="R624" s="46"/>
      <c r="S624" s="25">
        <f t="shared" si="21"/>
        <v>0</v>
      </c>
      <c r="T624" s="25">
        <f>COUNTIF($V$4:V624,V624)</f>
        <v>435</v>
      </c>
      <c r="U624" s="25" t="str">
        <f>IF(T624=1,COUNTIF($T$4:T624,1),"")</f>
        <v/>
      </c>
      <c r="V624" s="26" t="str">
        <f>'施設状況(要更新)'!$E624&amp;'施設状況(要更新)'!$C624</f>
        <v/>
      </c>
      <c r="W624" s="26">
        <f>'施設状況(要更新)'!$F624</f>
        <v>0</v>
      </c>
      <c r="X624" s="27"/>
    </row>
    <row r="625" spans="1:24">
      <c r="A625" s="45"/>
      <c r="B625" s="50"/>
      <c r="C625" s="46"/>
      <c r="D625" s="46"/>
      <c r="E625" s="46"/>
      <c r="F625" s="47"/>
      <c r="G625" s="47"/>
      <c r="H625" s="47"/>
      <c r="I625" s="47"/>
      <c r="J625" s="47"/>
      <c r="K625" s="47"/>
      <c r="L625" s="47"/>
      <c r="M625" s="47"/>
      <c r="N625" s="47"/>
      <c r="O625" s="47"/>
      <c r="P625" s="47"/>
      <c r="Q625" s="47"/>
      <c r="R625" s="46"/>
      <c r="S625" s="25">
        <f t="shared" si="21"/>
        <v>0</v>
      </c>
      <c r="T625" s="25">
        <f>COUNTIF($V$4:V625,V625)</f>
        <v>436</v>
      </c>
      <c r="U625" s="25" t="str">
        <f>IF(T625=1,COUNTIF($T$4:T625,1),"")</f>
        <v/>
      </c>
      <c r="V625" s="26" t="str">
        <f>'施設状況(要更新)'!$E625&amp;'施設状況(要更新)'!$C625</f>
        <v/>
      </c>
      <c r="W625" s="26">
        <f>'施設状況(要更新)'!$F625</f>
        <v>0</v>
      </c>
      <c r="X625" s="27"/>
    </row>
    <row r="626" spans="1:24">
      <c r="A626" s="45"/>
      <c r="B626" s="50"/>
      <c r="C626" s="46"/>
      <c r="D626" s="46"/>
      <c r="E626" s="46"/>
      <c r="F626" s="47"/>
      <c r="G626" s="47"/>
      <c r="H626" s="47"/>
      <c r="I626" s="47"/>
      <c r="J626" s="47"/>
      <c r="K626" s="47"/>
      <c r="L626" s="47"/>
      <c r="M626" s="47"/>
      <c r="N626" s="47"/>
      <c r="O626" s="47"/>
      <c r="P626" s="47"/>
      <c r="Q626" s="47"/>
      <c r="R626" s="46"/>
      <c r="S626" s="25">
        <f t="shared" si="21"/>
        <v>0</v>
      </c>
      <c r="T626" s="25">
        <f>COUNTIF($V$4:V626,V626)</f>
        <v>437</v>
      </c>
      <c r="U626" s="25" t="str">
        <f>IF(T626=1,COUNTIF($T$4:T626,1),"")</f>
        <v/>
      </c>
      <c r="V626" s="26" t="str">
        <f>'施設状況(要更新)'!$E626&amp;'施設状況(要更新)'!$C626</f>
        <v/>
      </c>
      <c r="W626" s="26">
        <f>'施設状況(要更新)'!$F626</f>
        <v>0</v>
      </c>
      <c r="X626" s="27"/>
    </row>
    <row r="627" spans="1:24">
      <c r="A627" s="45"/>
      <c r="B627" s="50"/>
      <c r="C627" s="46"/>
      <c r="D627" s="46"/>
      <c r="E627" s="46"/>
      <c r="F627" s="47"/>
      <c r="G627" s="47"/>
      <c r="H627" s="47"/>
      <c r="I627" s="47"/>
      <c r="J627" s="47"/>
      <c r="K627" s="47"/>
      <c r="L627" s="47"/>
      <c r="M627" s="47"/>
      <c r="N627" s="47"/>
      <c r="O627" s="47"/>
      <c r="P627" s="47"/>
      <c r="Q627" s="47"/>
      <c r="R627" s="46"/>
      <c r="S627" s="25">
        <f t="shared" si="21"/>
        <v>0</v>
      </c>
      <c r="T627" s="25">
        <f>COUNTIF($V$4:V627,V627)</f>
        <v>438</v>
      </c>
      <c r="U627" s="25" t="str">
        <f>IF(T627=1,COUNTIF($T$4:T627,1),"")</f>
        <v/>
      </c>
      <c r="V627" s="26" t="str">
        <f>'施設状況(要更新)'!$E627&amp;'施設状況(要更新)'!$C627</f>
        <v/>
      </c>
      <c r="W627" s="26">
        <f>'施設状況(要更新)'!$F627</f>
        <v>0</v>
      </c>
      <c r="X627" s="27"/>
    </row>
    <row r="628" spans="1:24">
      <c r="A628" s="45"/>
      <c r="B628" s="50"/>
      <c r="C628" s="46"/>
      <c r="D628" s="46"/>
      <c r="E628" s="46"/>
      <c r="F628" s="47"/>
      <c r="G628" s="47"/>
      <c r="H628" s="47"/>
      <c r="I628" s="47"/>
      <c r="J628" s="47"/>
      <c r="K628" s="47"/>
      <c r="L628" s="47"/>
      <c r="M628" s="47"/>
      <c r="N628" s="47"/>
      <c r="O628" s="47"/>
      <c r="P628" s="47"/>
      <c r="Q628" s="47"/>
      <c r="R628" s="46"/>
      <c r="S628" s="25">
        <f t="shared" si="21"/>
        <v>0</v>
      </c>
      <c r="T628" s="25">
        <f>COUNTIF($V$4:V628,V628)</f>
        <v>439</v>
      </c>
      <c r="U628" s="25" t="str">
        <f>IF(T628=1,COUNTIF($T$4:T628,1),"")</f>
        <v/>
      </c>
      <c r="V628" s="26" t="str">
        <f>'施設状況(要更新)'!$E628&amp;'施設状況(要更新)'!$C628</f>
        <v/>
      </c>
      <c r="W628" s="26">
        <f>'施設状況(要更新)'!$F628</f>
        <v>0</v>
      </c>
      <c r="X628" s="27"/>
    </row>
    <row r="629" spans="1:24">
      <c r="A629" s="45"/>
      <c r="B629" s="50"/>
      <c r="C629" s="46"/>
      <c r="D629" s="46"/>
      <c r="E629" s="46"/>
      <c r="F629" s="47"/>
      <c r="G629" s="47"/>
      <c r="H629" s="47"/>
      <c r="I629" s="47"/>
      <c r="J629" s="47"/>
      <c r="K629" s="47"/>
      <c r="L629" s="47"/>
      <c r="M629" s="47"/>
      <c r="N629" s="47"/>
      <c r="O629" s="47"/>
      <c r="P629" s="47"/>
      <c r="Q629" s="47"/>
      <c r="R629" s="46"/>
      <c r="S629" s="25">
        <f t="shared" si="21"/>
        <v>0</v>
      </c>
      <c r="T629" s="25">
        <f>COUNTIF($V$4:V629,V629)</f>
        <v>440</v>
      </c>
      <c r="U629" s="25" t="str">
        <f>IF(T629=1,COUNTIF($T$4:T629,1),"")</f>
        <v/>
      </c>
      <c r="V629" s="26" t="str">
        <f>'施設状況(要更新)'!$E629&amp;'施設状況(要更新)'!$C629</f>
        <v/>
      </c>
      <c r="W629" s="26">
        <f>'施設状況(要更新)'!$F629</f>
        <v>0</v>
      </c>
      <c r="X629" s="27"/>
    </row>
    <row r="630" spans="1:24">
      <c r="A630" s="45"/>
      <c r="B630" s="50"/>
      <c r="C630" s="46"/>
      <c r="D630" s="46"/>
      <c r="E630" s="46"/>
      <c r="F630" s="47"/>
      <c r="G630" s="47"/>
      <c r="H630" s="47"/>
      <c r="I630" s="47"/>
      <c r="J630" s="47"/>
      <c r="K630" s="47"/>
      <c r="L630" s="47"/>
      <c r="M630" s="47"/>
      <c r="N630" s="47"/>
      <c r="O630" s="47"/>
      <c r="P630" s="47"/>
      <c r="Q630" s="47"/>
      <c r="R630" s="46"/>
      <c r="S630" s="25">
        <f t="shared" si="21"/>
        <v>0</v>
      </c>
      <c r="T630" s="25">
        <f>COUNTIF($V$4:V630,V630)</f>
        <v>441</v>
      </c>
      <c r="U630" s="25" t="str">
        <f>IF(T630=1,COUNTIF($T$4:T630,1),"")</f>
        <v/>
      </c>
      <c r="V630" s="26" t="str">
        <f>'施設状況(要更新)'!$E630&amp;'施設状況(要更新)'!$C630</f>
        <v/>
      </c>
      <c r="W630" s="26">
        <f>'施設状況(要更新)'!$F630</f>
        <v>0</v>
      </c>
      <c r="X630" s="27"/>
    </row>
    <row r="631" spans="1:24">
      <c r="A631" s="45"/>
      <c r="B631" s="50"/>
      <c r="C631" s="46"/>
      <c r="D631" s="46"/>
      <c r="E631" s="46"/>
      <c r="F631" s="47"/>
      <c r="G631" s="47"/>
      <c r="H631" s="47"/>
      <c r="I631" s="47"/>
      <c r="J631" s="47"/>
      <c r="K631" s="47"/>
      <c r="L631" s="47"/>
      <c r="M631" s="47"/>
      <c r="N631" s="47"/>
      <c r="O631" s="47"/>
      <c r="P631" s="47"/>
      <c r="Q631" s="47"/>
      <c r="R631" s="46"/>
      <c r="S631" s="25">
        <f t="shared" si="21"/>
        <v>0</v>
      </c>
      <c r="T631" s="25">
        <f>COUNTIF($V$4:V631,V631)</f>
        <v>442</v>
      </c>
      <c r="U631" s="25" t="str">
        <f>IF(T631=1,COUNTIF($T$4:T631,1),"")</f>
        <v/>
      </c>
      <c r="V631" s="26" t="str">
        <f>'施設状況(要更新)'!$E631&amp;'施設状況(要更新)'!$C631</f>
        <v/>
      </c>
      <c r="W631" s="26">
        <f>'施設状況(要更新)'!$F631</f>
        <v>0</v>
      </c>
      <c r="X631" s="27"/>
    </row>
    <row r="632" spans="1:24">
      <c r="A632" s="45"/>
      <c r="B632" s="50"/>
      <c r="C632" s="46"/>
      <c r="D632" s="46"/>
      <c r="E632" s="46"/>
      <c r="F632" s="47"/>
      <c r="G632" s="47"/>
      <c r="H632" s="47"/>
      <c r="I632" s="47"/>
      <c r="J632" s="47"/>
      <c r="K632" s="47"/>
      <c r="L632" s="47"/>
      <c r="M632" s="47"/>
      <c r="N632" s="47"/>
      <c r="O632" s="47"/>
      <c r="P632" s="47"/>
      <c r="Q632" s="47"/>
      <c r="R632" s="46"/>
      <c r="S632" s="25">
        <f t="shared" si="21"/>
        <v>0</v>
      </c>
      <c r="T632" s="25">
        <f>COUNTIF($V$4:V632,V632)</f>
        <v>443</v>
      </c>
      <c r="U632" s="25" t="str">
        <f>IF(T632=1,COUNTIF($T$4:T632,1),"")</f>
        <v/>
      </c>
      <c r="V632" s="26" t="str">
        <f>'施設状況(要更新)'!$E632&amp;'施設状況(要更新)'!$C632</f>
        <v/>
      </c>
      <c r="W632" s="26">
        <f>'施設状況(要更新)'!$F632</f>
        <v>0</v>
      </c>
      <c r="X632" s="27"/>
    </row>
    <row r="633" spans="1:24">
      <c r="A633" s="45"/>
      <c r="B633" s="50"/>
      <c r="C633" s="46"/>
      <c r="D633" s="46"/>
      <c r="E633" s="46"/>
      <c r="F633" s="47"/>
      <c r="G633" s="47"/>
      <c r="H633" s="47"/>
      <c r="I633" s="47"/>
      <c r="J633" s="47"/>
      <c r="K633" s="47"/>
      <c r="L633" s="47"/>
      <c r="M633" s="47"/>
      <c r="N633" s="47"/>
      <c r="O633" s="47"/>
      <c r="P633" s="47"/>
      <c r="Q633" s="47"/>
      <c r="R633" s="46"/>
      <c r="S633" s="25">
        <f t="shared" si="21"/>
        <v>0</v>
      </c>
      <c r="T633" s="25">
        <f>COUNTIF($V$4:V633,V633)</f>
        <v>444</v>
      </c>
      <c r="U633" s="25" t="str">
        <f>IF(T633=1,COUNTIF($T$4:T633,1),"")</f>
        <v/>
      </c>
      <c r="V633" s="26" t="str">
        <f>'施設状況(要更新)'!$E633&amp;'施設状況(要更新)'!$C633</f>
        <v/>
      </c>
      <c r="W633" s="26">
        <f>'施設状況(要更新)'!$F633</f>
        <v>0</v>
      </c>
      <c r="X633" s="27"/>
    </row>
    <row r="634" spans="1:24">
      <c r="A634" s="45"/>
      <c r="B634" s="50"/>
      <c r="C634" s="46"/>
      <c r="D634" s="46"/>
      <c r="E634" s="46"/>
      <c r="F634" s="47"/>
      <c r="G634" s="47"/>
      <c r="H634" s="47"/>
      <c r="I634" s="47"/>
      <c r="J634" s="47"/>
      <c r="K634" s="47"/>
      <c r="L634" s="47"/>
      <c r="M634" s="47"/>
      <c r="N634" s="47"/>
      <c r="O634" s="47"/>
      <c r="P634" s="47"/>
      <c r="Q634" s="47"/>
      <c r="R634" s="46"/>
      <c r="S634" s="25">
        <f t="shared" si="21"/>
        <v>0</v>
      </c>
      <c r="T634" s="25">
        <f>COUNTIF($V$4:V634,V634)</f>
        <v>445</v>
      </c>
      <c r="U634" s="25" t="str">
        <f>IF(T634=1,COUNTIF($T$4:T634,1),"")</f>
        <v/>
      </c>
      <c r="V634" s="26" t="str">
        <f>'施設状況(要更新)'!$E634&amp;'施設状況(要更新)'!$C634</f>
        <v/>
      </c>
      <c r="W634" s="26">
        <f>'施設状況(要更新)'!$F634</f>
        <v>0</v>
      </c>
      <c r="X634" s="27"/>
    </row>
    <row r="635" spans="1:24">
      <c r="A635" s="45"/>
      <c r="B635" s="50"/>
      <c r="C635" s="46"/>
      <c r="D635" s="46"/>
      <c r="E635" s="46"/>
      <c r="F635" s="47"/>
      <c r="G635" s="47"/>
      <c r="H635" s="47"/>
      <c r="I635" s="47"/>
      <c r="J635" s="47"/>
      <c r="K635" s="47"/>
      <c r="L635" s="47"/>
      <c r="M635" s="47"/>
      <c r="N635" s="47"/>
      <c r="O635" s="47"/>
      <c r="P635" s="47"/>
      <c r="Q635" s="47"/>
      <c r="R635" s="46"/>
      <c r="S635" s="25">
        <f t="shared" si="21"/>
        <v>0</v>
      </c>
      <c r="T635" s="25">
        <f>COUNTIF($V$4:V635,V635)</f>
        <v>446</v>
      </c>
      <c r="U635" s="25" t="str">
        <f>IF(T635=1,COUNTIF($T$4:T635,1),"")</f>
        <v/>
      </c>
      <c r="V635" s="26" t="str">
        <f>'施設状況(要更新)'!$E635&amp;'施設状況(要更新)'!$C635</f>
        <v/>
      </c>
      <c r="W635" s="26">
        <f>'施設状況(要更新)'!$F635</f>
        <v>0</v>
      </c>
      <c r="X635" s="27"/>
    </row>
    <row r="636" spans="1:24">
      <c r="A636" s="45"/>
      <c r="B636" s="50"/>
      <c r="C636" s="46"/>
      <c r="D636" s="46"/>
      <c r="E636" s="46"/>
      <c r="F636" s="47"/>
      <c r="G636" s="47"/>
      <c r="H636" s="47"/>
      <c r="I636" s="47"/>
      <c r="J636" s="47"/>
      <c r="K636" s="47"/>
      <c r="L636" s="47"/>
      <c r="M636" s="47"/>
      <c r="N636" s="47"/>
      <c r="O636" s="47"/>
      <c r="P636" s="47"/>
      <c r="Q636" s="47"/>
      <c r="R636" s="46"/>
      <c r="S636" s="25">
        <f t="shared" si="21"/>
        <v>0</v>
      </c>
      <c r="T636" s="25">
        <f>COUNTIF($V$4:V636,V636)</f>
        <v>447</v>
      </c>
      <c r="U636" s="25" t="str">
        <f>IF(T636=1,COUNTIF($T$4:T636,1),"")</f>
        <v/>
      </c>
      <c r="V636" s="26" t="str">
        <f>'施設状況(要更新)'!$E636&amp;'施設状況(要更新)'!$C636</f>
        <v/>
      </c>
      <c r="W636" s="26">
        <f>'施設状況(要更新)'!$F636</f>
        <v>0</v>
      </c>
      <c r="X636" s="27"/>
    </row>
    <row r="637" spans="1:24">
      <c r="A637" s="45"/>
      <c r="B637" s="50"/>
      <c r="C637" s="46"/>
      <c r="D637" s="46"/>
      <c r="E637" s="46"/>
      <c r="F637" s="47"/>
      <c r="G637" s="47"/>
      <c r="H637" s="47"/>
      <c r="I637" s="47"/>
      <c r="J637" s="47"/>
      <c r="K637" s="47"/>
      <c r="L637" s="47"/>
      <c r="M637" s="47"/>
      <c r="N637" s="47"/>
      <c r="O637" s="47"/>
      <c r="P637" s="47"/>
      <c r="Q637" s="47"/>
      <c r="R637" s="46"/>
      <c r="S637" s="25">
        <f t="shared" si="21"/>
        <v>0</v>
      </c>
      <c r="T637" s="25">
        <f>COUNTIF($V$4:V637,V637)</f>
        <v>448</v>
      </c>
      <c r="U637" s="25" t="str">
        <f>IF(T637=1,COUNTIF($T$4:T637,1),"")</f>
        <v/>
      </c>
      <c r="V637" s="26" t="str">
        <f>'施設状況(要更新)'!$E637&amp;'施設状況(要更新)'!$C637</f>
        <v/>
      </c>
      <c r="W637" s="26">
        <f>'施設状況(要更新)'!$F637</f>
        <v>0</v>
      </c>
      <c r="X637" s="27"/>
    </row>
    <row r="638" spans="1:24">
      <c r="A638" s="45"/>
      <c r="B638" s="50"/>
      <c r="C638" s="46"/>
      <c r="D638" s="46"/>
      <c r="E638" s="46"/>
      <c r="F638" s="47"/>
      <c r="G638" s="47"/>
      <c r="H638" s="47"/>
      <c r="I638" s="47"/>
      <c r="J638" s="47"/>
      <c r="K638" s="47"/>
      <c r="L638" s="47"/>
      <c r="M638" s="47"/>
      <c r="N638" s="47"/>
      <c r="O638" s="47"/>
      <c r="P638" s="47"/>
      <c r="Q638" s="47"/>
      <c r="R638" s="46"/>
      <c r="S638" s="25">
        <f t="shared" si="21"/>
        <v>0</v>
      </c>
      <c r="T638" s="25">
        <f>COUNTIF($V$4:V638,V638)</f>
        <v>449</v>
      </c>
      <c r="U638" s="25" t="str">
        <f>IF(T638=1,COUNTIF($T$4:T638,1),"")</f>
        <v/>
      </c>
      <c r="V638" s="26" t="str">
        <f>'施設状況(要更新)'!$E638&amp;'施設状況(要更新)'!$C638</f>
        <v/>
      </c>
      <c r="W638" s="26">
        <f>'施設状況(要更新)'!$F638</f>
        <v>0</v>
      </c>
      <c r="X638" s="27"/>
    </row>
    <row r="639" spans="1:24">
      <c r="A639" s="45"/>
      <c r="B639" s="50"/>
      <c r="C639" s="46"/>
      <c r="D639" s="46"/>
      <c r="E639" s="46"/>
      <c r="F639" s="47"/>
      <c r="G639" s="47"/>
      <c r="H639" s="47"/>
      <c r="I639" s="47"/>
      <c r="J639" s="47"/>
      <c r="K639" s="47"/>
      <c r="L639" s="47"/>
      <c r="M639" s="47"/>
      <c r="N639" s="47"/>
      <c r="O639" s="47"/>
      <c r="P639" s="47"/>
      <c r="Q639" s="47"/>
      <c r="R639" s="46"/>
      <c r="S639" s="25">
        <f t="shared" si="21"/>
        <v>0</v>
      </c>
      <c r="T639" s="25">
        <f>COUNTIF($V$4:V639,V639)</f>
        <v>450</v>
      </c>
      <c r="U639" s="25" t="str">
        <f>IF(T639=1,COUNTIF($T$4:T639,1),"")</f>
        <v/>
      </c>
      <c r="V639" s="26" t="str">
        <f>'施設状況(要更新)'!$E639&amp;'施設状況(要更新)'!$C639</f>
        <v/>
      </c>
      <c r="W639" s="26">
        <f>'施設状況(要更新)'!$F639</f>
        <v>0</v>
      </c>
      <c r="X639" s="27"/>
    </row>
    <row r="640" spans="1:24">
      <c r="A640" s="45"/>
      <c r="B640" s="50"/>
      <c r="C640" s="46"/>
      <c r="D640" s="46"/>
      <c r="E640" s="46"/>
      <c r="F640" s="47"/>
      <c r="G640" s="47"/>
      <c r="H640" s="47"/>
      <c r="I640" s="47"/>
      <c r="J640" s="47"/>
      <c r="K640" s="47"/>
      <c r="L640" s="47"/>
      <c r="M640" s="47"/>
      <c r="N640" s="47"/>
      <c r="O640" s="47"/>
      <c r="P640" s="47"/>
      <c r="Q640" s="47"/>
      <c r="R640" s="46"/>
      <c r="S640" s="25">
        <f t="shared" si="21"/>
        <v>0</v>
      </c>
      <c r="T640" s="25">
        <f>COUNTIF($V$4:V640,V640)</f>
        <v>451</v>
      </c>
      <c r="U640" s="25" t="str">
        <f>IF(T640=1,COUNTIF($T$4:T640,1),"")</f>
        <v/>
      </c>
      <c r="V640" s="26" t="str">
        <f>'施設状況(要更新)'!$E640&amp;'施設状況(要更新)'!$C640</f>
        <v/>
      </c>
      <c r="W640" s="26">
        <f>'施設状況(要更新)'!$F640</f>
        <v>0</v>
      </c>
      <c r="X640" s="27"/>
    </row>
    <row r="641" spans="1:24">
      <c r="A641" s="45"/>
      <c r="B641" s="50"/>
      <c r="C641" s="46"/>
      <c r="D641" s="46"/>
      <c r="E641" s="46"/>
      <c r="F641" s="47"/>
      <c r="G641" s="47"/>
      <c r="H641" s="47"/>
      <c r="I641" s="47"/>
      <c r="J641" s="47"/>
      <c r="K641" s="47"/>
      <c r="L641" s="47"/>
      <c r="M641" s="47"/>
      <c r="N641" s="47"/>
      <c r="O641" s="47"/>
      <c r="P641" s="47"/>
      <c r="Q641" s="47"/>
      <c r="R641" s="46"/>
      <c r="S641" s="25">
        <f t="shared" si="21"/>
        <v>0</v>
      </c>
      <c r="T641" s="25">
        <f>COUNTIF($V$4:V641,V641)</f>
        <v>452</v>
      </c>
      <c r="U641" s="25" t="str">
        <f>IF(T641=1,COUNTIF($T$4:T641,1),"")</f>
        <v/>
      </c>
      <c r="V641" s="26" t="str">
        <f>'施設状況(要更新)'!$E641&amp;'施設状況(要更新)'!$C641</f>
        <v/>
      </c>
      <c r="W641" s="26">
        <f>'施設状況(要更新)'!$F641</f>
        <v>0</v>
      </c>
      <c r="X641" s="27"/>
    </row>
    <row r="642" spans="1:24">
      <c r="A642" s="45"/>
      <c r="B642" s="50"/>
      <c r="C642" s="46"/>
      <c r="D642" s="46"/>
      <c r="E642" s="46"/>
      <c r="F642" s="47"/>
      <c r="G642" s="47"/>
      <c r="H642" s="47"/>
      <c r="I642" s="47"/>
      <c r="J642" s="47"/>
      <c r="K642" s="47"/>
      <c r="L642" s="47"/>
      <c r="M642" s="47"/>
      <c r="N642" s="47"/>
      <c r="O642" s="47"/>
      <c r="P642" s="47"/>
      <c r="Q642" s="47"/>
      <c r="R642" s="46"/>
      <c r="S642" s="25">
        <f t="shared" si="21"/>
        <v>0</v>
      </c>
      <c r="T642" s="25">
        <f>COUNTIF($V$4:V642,V642)</f>
        <v>453</v>
      </c>
      <c r="U642" s="25" t="str">
        <f>IF(T642=1,COUNTIF($T$4:T642,1),"")</f>
        <v/>
      </c>
      <c r="V642" s="26" t="str">
        <f>'施設状況(要更新)'!$E642&amp;'施設状況(要更新)'!$C642</f>
        <v/>
      </c>
      <c r="W642" s="26">
        <f>'施設状況(要更新)'!$F642</f>
        <v>0</v>
      </c>
      <c r="X642" s="27"/>
    </row>
    <row r="643" spans="1:24">
      <c r="A643" s="45"/>
      <c r="B643" s="50"/>
      <c r="C643" s="46"/>
      <c r="D643" s="46"/>
      <c r="E643" s="46"/>
      <c r="F643" s="47"/>
      <c r="G643" s="47"/>
      <c r="H643" s="47"/>
      <c r="I643" s="47"/>
      <c r="J643" s="47"/>
      <c r="K643" s="47"/>
      <c r="L643" s="47"/>
      <c r="M643" s="47"/>
      <c r="N643" s="47"/>
      <c r="O643" s="47"/>
      <c r="P643" s="47"/>
      <c r="Q643" s="47"/>
      <c r="R643" s="46"/>
      <c r="S643" s="25">
        <f t="shared" si="21"/>
        <v>0</v>
      </c>
      <c r="T643" s="25">
        <f>COUNTIF($V$4:V643,V643)</f>
        <v>454</v>
      </c>
      <c r="U643" s="25" t="str">
        <f>IF(T643=1,COUNTIF($T$4:T643,1),"")</f>
        <v/>
      </c>
      <c r="V643" s="26" t="str">
        <f>'施設状況(要更新)'!$E643&amp;'施設状況(要更新)'!$C643</f>
        <v/>
      </c>
      <c r="W643" s="26">
        <f>'施設状況(要更新)'!$F643</f>
        <v>0</v>
      </c>
      <c r="X643" s="27"/>
    </row>
    <row r="644" spans="1:24">
      <c r="A644" s="45"/>
      <c r="B644" s="50"/>
      <c r="C644" s="46"/>
      <c r="D644" s="46"/>
      <c r="E644" s="46"/>
      <c r="F644" s="47"/>
      <c r="G644" s="47"/>
      <c r="H644" s="47"/>
      <c r="I644" s="47"/>
      <c r="J644" s="47"/>
      <c r="K644" s="47"/>
      <c r="L644" s="47"/>
      <c r="M644" s="47"/>
      <c r="N644" s="47"/>
      <c r="O644" s="47"/>
      <c r="P644" s="47"/>
      <c r="Q644" s="47"/>
      <c r="R644" s="46"/>
      <c r="S644" s="25">
        <f t="shared" si="21"/>
        <v>0</v>
      </c>
      <c r="T644" s="25">
        <f>COUNTIF($V$4:V644,V644)</f>
        <v>455</v>
      </c>
      <c r="U644" s="25" t="str">
        <f>IF(T644=1,COUNTIF($T$4:T644,1),"")</f>
        <v/>
      </c>
      <c r="V644" s="26" t="str">
        <f>'施設状況(要更新)'!$E644&amp;'施設状況(要更新)'!$C644</f>
        <v/>
      </c>
      <c r="W644" s="26">
        <f>'施設状況(要更新)'!$F644</f>
        <v>0</v>
      </c>
      <c r="X644" s="27"/>
    </row>
    <row r="645" spans="1:24">
      <c r="A645" s="45"/>
      <c r="B645" s="50"/>
      <c r="C645" s="46"/>
      <c r="D645" s="46"/>
      <c r="E645" s="46"/>
      <c r="F645" s="47"/>
      <c r="G645" s="47"/>
      <c r="H645" s="47"/>
      <c r="I645" s="47"/>
      <c r="J645" s="47"/>
      <c r="K645" s="47"/>
      <c r="L645" s="47"/>
      <c r="M645" s="47"/>
      <c r="N645" s="47"/>
      <c r="O645" s="47"/>
      <c r="P645" s="47"/>
      <c r="Q645" s="47"/>
      <c r="R645" s="46"/>
      <c r="S645" s="25">
        <f t="shared" si="21"/>
        <v>0</v>
      </c>
      <c r="T645" s="25">
        <f>COUNTIF($V$4:V645,V645)</f>
        <v>456</v>
      </c>
      <c r="U645" s="25" t="str">
        <f>IF(T645=1,COUNTIF($T$4:T645,1),"")</f>
        <v/>
      </c>
      <c r="V645" s="26" t="str">
        <f>'施設状況(要更新)'!$E645&amp;'施設状況(要更新)'!$C645</f>
        <v/>
      </c>
      <c r="W645" s="26">
        <f>'施設状況(要更新)'!$F645</f>
        <v>0</v>
      </c>
      <c r="X645" s="27"/>
    </row>
    <row r="646" spans="1:24">
      <c r="A646" s="45"/>
      <c r="B646" s="50"/>
      <c r="C646" s="46"/>
      <c r="D646" s="46"/>
      <c r="E646" s="46"/>
      <c r="F646" s="47"/>
      <c r="G646" s="47"/>
      <c r="H646" s="47"/>
      <c r="I646" s="47"/>
      <c r="J646" s="47"/>
      <c r="K646" s="47"/>
      <c r="L646" s="47"/>
      <c r="M646" s="47"/>
      <c r="N646" s="47"/>
      <c r="O646" s="47"/>
      <c r="P646" s="47"/>
      <c r="Q646" s="47"/>
      <c r="R646" s="46"/>
      <c r="S646" s="25">
        <f t="shared" si="21"/>
        <v>0</v>
      </c>
      <c r="T646" s="25">
        <f>COUNTIF($V$4:V646,V646)</f>
        <v>457</v>
      </c>
      <c r="U646" s="25" t="str">
        <f>IF(T646=1,COUNTIF($T$4:T646,1),"")</f>
        <v/>
      </c>
      <c r="V646" s="26" t="str">
        <f>'施設状況(要更新)'!$E646&amp;'施設状況(要更新)'!$C646</f>
        <v/>
      </c>
      <c r="W646" s="26">
        <f>'施設状況(要更新)'!$F646</f>
        <v>0</v>
      </c>
      <c r="X646" s="27"/>
    </row>
    <row r="647" spans="1:24">
      <c r="A647" s="45"/>
      <c r="B647" s="50"/>
      <c r="C647" s="46"/>
      <c r="D647" s="46"/>
      <c r="E647" s="46"/>
      <c r="F647" s="47"/>
      <c r="G647" s="47"/>
      <c r="H647" s="47"/>
      <c r="I647" s="47"/>
      <c r="J647" s="47"/>
      <c r="K647" s="47"/>
      <c r="L647" s="47"/>
      <c r="M647" s="47"/>
      <c r="N647" s="47"/>
      <c r="O647" s="47"/>
      <c r="P647" s="47"/>
      <c r="Q647" s="47"/>
      <c r="R647" s="46"/>
      <c r="S647" s="25">
        <f t="shared" si="21"/>
        <v>0</v>
      </c>
      <c r="T647" s="25">
        <f>COUNTIF($V$4:V647,V647)</f>
        <v>458</v>
      </c>
      <c r="U647" s="25" t="str">
        <f>IF(T647=1,COUNTIF($T$4:T647,1),"")</f>
        <v/>
      </c>
      <c r="V647" s="26" t="str">
        <f>'施設状況(要更新)'!$E647&amp;'施設状況(要更新)'!$C647</f>
        <v/>
      </c>
      <c r="W647" s="26">
        <f>'施設状況(要更新)'!$F647</f>
        <v>0</v>
      </c>
      <c r="X647" s="27"/>
    </row>
    <row r="648" spans="1:24">
      <c r="A648" s="45"/>
      <c r="B648" s="50"/>
      <c r="C648" s="46"/>
      <c r="D648" s="46"/>
      <c r="E648" s="46"/>
      <c r="F648" s="47"/>
      <c r="G648" s="47"/>
      <c r="H648" s="47"/>
      <c r="I648" s="47"/>
      <c r="J648" s="47"/>
      <c r="K648" s="47"/>
      <c r="L648" s="47"/>
      <c r="M648" s="47"/>
      <c r="N648" s="47"/>
      <c r="O648" s="47"/>
      <c r="P648" s="47"/>
      <c r="Q648" s="47"/>
      <c r="R648" s="46"/>
      <c r="S648" s="25">
        <f t="shared" si="21"/>
        <v>0</v>
      </c>
      <c r="T648" s="25">
        <f>COUNTIF($V$4:V648,V648)</f>
        <v>459</v>
      </c>
      <c r="U648" s="25" t="str">
        <f>IF(T648=1,COUNTIF($T$4:T648,1),"")</f>
        <v/>
      </c>
      <c r="V648" s="26" t="str">
        <f>'施設状況(要更新)'!$E648&amp;'施設状況(要更新)'!$C648</f>
        <v/>
      </c>
      <c r="W648" s="26">
        <f>'施設状況(要更新)'!$F648</f>
        <v>0</v>
      </c>
      <c r="X648" s="27"/>
    </row>
    <row r="649" spans="1:24">
      <c r="A649" s="45"/>
      <c r="B649" s="50"/>
      <c r="C649" s="46"/>
      <c r="D649" s="46"/>
      <c r="E649" s="46"/>
      <c r="F649" s="47"/>
      <c r="G649" s="47"/>
      <c r="H649" s="47"/>
      <c r="I649" s="47"/>
      <c r="J649" s="47"/>
      <c r="K649" s="47"/>
      <c r="L649" s="47"/>
      <c r="M649" s="47"/>
      <c r="N649" s="47"/>
      <c r="O649" s="47"/>
      <c r="P649" s="47"/>
      <c r="Q649" s="47"/>
      <c r="R649" s="46"/>
      <c r="S649" s="25">
        <f t="shared" si="21"/>
        <v>0</v>
      </c>
      <c r="T649" s="25">
        <f>COUNTIF($V$4:V649,V649)</f>
        <v>460</v>
      </c>
      <c r="U649" s="25" t="str">
        <f>IF(T649=1,COUNTIF($T$4:T649,1),"")</f>
        <v/>
      </c>
      <c r="V649" s="26" t="str">
        <f>'施設状況(要更新)'!$E649&amp;'施設状況(要更新)'!$C649</f>
        <v/>
      </c>
      <c r="W649" s="26">
        <f>'施設状況(要更新)'!$F649</f>
        <v>0</v>
      </c>
      <c r="X649" s="27"/>
    </row>
    <row r="650" spans="1:24">
      <c r="A650" s="45"/>
      <c r="B650" s="50"/>
      <c r="C650" s="46"/>
      <c r="D650" s="46"/>
      <c r="E650" s="46"/>
      <c r="F650" s="47"/>
      <c r="G650" s="47"/>
      <c r="H650" s="47"/>
      <c r="I650" s="47"/>
      <c r="J650" s="47"/>
      <c r="K650" s="47"/>
      <c r="L650" s="47"/>
      <c r="M650" s="47"/>
      <c r="N650" s="47"/>
      <c r="O650" s="47"/>
      <c r="P650" s="47"/>
      <c r="Q650" s="47"/>
      <c r="R650" s="46"/>
      <c r="S650" s="25">
        <f t="shared" si="21"/>
        <v>0</v>
      </c>
      <c r="T650" s="25">
        <f>COUNTIF($V$4:V650,V650)</f>
        <v>461</v>
      </c>
      <c r="U650" s="25" t="str">
        <f>IF(T650=1,COUNTIF($T$4:T650,1),"")</f>
        <v/>
      </c>
      <c r="V650" s="26" t="str">
        <f>'施設状況(要更新)'!$E650&amp;'施設状況(要更新)'!$C650</f>
        <v/>
      </c>
      <c r="W650" s="26">
        <f>'施設状況(要更新)'!$F650</f>
        <v>0</v>
      </c>
      <c r="X650" s="27"/>
    </row>
    <row r="651" spans="1:24">
      <c r="A651" s="45"/>
      <c r="B651" s="50"/>
      <c r="C651" s="46"/>
      <c r="D651" s="46"/>
      <c r="E651" s="46"/>
      <c r="F651" s="47"/>
      <c r="G651" s="47"/>
      <c r="H651" s="47"/>
      <c r="I651" s="47"/>
      <c r="J651" s="47"/>
      <c r="K651" s="47"/>
      <c r="L651" s="47"/>
      <c r="M651" s="47"/>
      <c r="N651" s="47"/>
      <c r="O651" s="47"/>
      <c r="P651" s="47"/>
      <c r="Q651" s="47"/>
      <c r="R651" s="46"/>
      <c r="S651" s="25">
        <f t="shared" si="21"/>
        <v>0</v>
      </c>
      <c r="T651" s="25">
        <f>COUNTIF($V$4:V651,V651)</f>
        <v>462</v>
      </c>
      <c r="U651" s="25" t="str">
        <f>IF(T651=1,COUNTIF($T$4:T651,1),"")</f>
        <v/>
      </c>
      <c r="V651" s="26" t="str">
        <f>'施設状況(要更新)'!$E651&amp;'施設状況(要更新)'!$C651</f>
        <v/>
      </c>
      <c r="W651" s="26">
        <f>'施設状況(要更新)'!$F651</f>
        <v>0</v>
      </c>
      <c r="X651" s="27"/>
    </row>
    <row r="652" spans="1:24">
      <c r="A652" s="45"/>
      <c r="B652" s="50"/>
      <c r="C652" s="46"/>
      <c r="D652" s="46"/>
      <c r="E652" s="46"/>
      <c r="F652" s="47"/>
      <c r="G652" s="47"/>
      <c r="H652" s="47"/>
      <c r="I652" s="47"/>
      <c r="J652" s="47"/>
      <c r="K652" s="47"/>
      <c r="L652" s="47"/>
      <c r="M652" s="47"/>
      <c r="N652" s="47"/>
      <c r="O652" s="47"/>
      <c r="P652" s="47"/>
      <c r="Q652" s="47"/>
      <c r="R652" s="46"/>
      <c r="S652" s="25">
        <f t="shared" si="21"/>
        <v>0</v>
      </c>
      <c r="T652" s="25">
        <f>COUNTIF($V$4:V652,V652)</f>
        <v>463</v>
      </c>
      <c r="U652" s="25" t="str">
        <f>IF(T652=1,COUNTIF($T$4:T652,1),"")</f>
        <v/>
      </c>
      <c r="V652" s="26" t="str">
        <f>'施設状況(要更新)'!$E652&amp;'施設状況(要更新)'!$C652</f>
        <v/>
      </c>
      <c r="W652" s="26">
        <f>'施設状況(要更新)'!$F652</f>
        <v>0</v>
      </c>
      <c r="X652" s="27"/>
    </row>
    <row r="653" spans="1:24">
      <c r="A653" s="45"/>
      <c r="B653" s="50"/>
      <c r="C653" s="46"/>
      <c r="D653" s="46"/>
      <c r="E653" s="46"/>
      <c r="F653" s="47"/>
      <c r="G653" s="47"/>
      <c r="H653" s="47"/>
      <c r="I653" s="47"/>
      <c r="J653" s="47"/>
      <c r="K653" s="47"/>
      <c r="L653" s="47"/>
      <c r="M653" s="47"/>
      <c r="N653" s="47"/>
      <c r="O653" s="47"/>
      <c r="P653" s="47"/>
      <c r="Q653" s="47"/>
      <c r="R653" s="46"/>
      <c r="S653" s="25">
        <f t="shared" si="21"/>
        <v>0</v>
      </c>
      <c r="T653" s="25">
        <f>COUNTIF($V$4:V653,V653)</f>
        <v>464</v>
      </c>
      <c r="U653" s="25" t="str">
        <f>IF(T653=1,COUNTIF($T$4:T653,1),"")</f>
        <v/>
      </c>
      <c r="V653" s="26" t="str">
        <f>'施設状況(要更新)'!$E653&amp;'施設状況(要更新)'!$C653</f>
        <v/>
      </c>
      <c r="W653" s="26">
        <f>'施設状況(要更新)'!$F653</f>
        <v>0</v>
      </c>
      <c r="X653" s="27"/>
    </row>
    <row r="654" spans="1:24">
      <c r="A654" s="45"/>
      <c r="B654" s="50"/>
      <c r="C654" s="46"/>
      <c r="D654" s="46"/>
      <c r="E654" s="46"/>
      <c r="F654" s="47"/>
      <c r="G654" s="47"/>
      <c r="H654" s="47"/>
      <c r="I654" s="47"/>
      <c r="J654" s="47"/>
      <c r="K654" s="47"/>
      <c r="L654" s="47"/>
      <c r="M654" s="47"/>
      <c r="N654" s="47"/>
      <c r="O654" s="47"/>
      <c r="P654" s="47"/>
      <c r="Q654" s="47"/>
      <c r="R654" s="46"/>
      <c r="S654" s="25">
        <f t="shared" si="21"/>
        <v>0</v>
      </c>
      <c r="T654" s="25">
        <f>COUNTIF($V$4:V654,V654)</f>
        <v>465</v>
      </c>
      <c r="U654" s="25" t="str">
        <f>IF(T654=1,COUNTIF($T$4:T654,1),"")</f>
        <v/>
      </c>
      <c r="V654" s="26" t="str">
        <f>'施設状況(要更新)'!$E654&amp;'施設状況(要更新)'!$C654</f>
        <v/>
      </c>
      <c r="W654" s="26">
        <f>'施設状況(要更新)'!$F654</f>
        <v>0</v>
      </c>
      <c r="X654" s="27"/>
    </row>
    <row r="655" spans="1:24">
      <c r="A655" s="45"/>
      <c r="B655" s="50"/>
      <c r="C655" s="46"/>
      <c r="D655" s="46"/>
      <c r="E655" s="46"/>
      <c r="F655" s="47"/>
      <c r="G655" s="47"/>
      <c r="H655" s="47"/>
      <c r="I655" s="47"/>
      <c r="J655" s="47"/>
      <c r="K655" s="47"/>
      <c r="L655" s="47"/>
      <c r="M655" s="47"/>
      <c r="N655" s="47"/>
      <c r="O655" s="47"/>
      <c r="P655" s="47"/>
      <c r="Q655" s="47"/>
      <c r="R655" s="46"/>
      <c r="S655" s="25">
        <f t="shared" si="21"/>
        <v>0</v>
      </c>
      <c r="T655" s="25">
        <f>COUNTIF($V$4:V655,V655)</f>
        <v>466</v>
      </c>
      <c r="U655" s="25" t="str">
        <f>IF(T655=1,COUNTIF($T$4:T655,1),"")</f>
        <v/>
      </c>
      <c r="V655" s="26" t="str">
        <f>'施設状況(要更新)'!$E655&amp;'施設状況(要更新)'!$C655</f>
        <v/>
      </c>
      <c r="W655" s="26">
        <f>'施設状況(要更新)'!$F655</f>
        <v>0</v>
      </c>
      <c r="X655" s="27"/>
    </row>
    <row r="656" spans="1:24">
      <c r="A656" s="45"/>
      <c r="B656" s="50"/>
      <c r="C656" s="46"/>
      <c r="D656" s="46"/>
      <c r="E656" s="46"/>
      <c r="F656" s="47"/>
      <c r="G656" s="47"/>
      <c r="H656" s="47"/>
      <c r="I656" s="47"/>
      <c r="J656" s="47"/>
      <c r="K656" s="47"/>
      <c r="L656" s="47"/>
      <c r="M656" s="47"/>
      <c r="N656" s="47"/>
      <c r="O656" s="47"/>
      <c r="P656" s="47"/>
      <c r="Q656" s="47"/>
      <c r="R656" s="46"/>
      <c r="S656" s="25">
        <f t="shared" si="21"/>
        <v>0</v>
      </c>
      <c r="T656" s="25">
        <f>COUNTIF($V$4:V656,V656)</f>
        <v>467</v>
      </c>
      <c r="U656" s="25" t="str">
        <f>IF(T656=1,COUNTIF($T$4:T656,1),"")</f>
        <v/>
      </c>
      <c r="V656" s="26" t="str">
        <f>'施設状況(要更新)'!$E656&amp;'施設状況(要更新)'!$C656</f>
        <v/>
      </c>
      <c r="W656" s="26">
        <f>'施設状況(要更新)'!$F656</f>
        <v>0</v>
      </c>
      <c r="X656" s="27"/>
    </row>
    <row r="657" spans="1:24">
      <c r="A657" s="45"/>
      <c r="B657" s="50"/>
      <c r="C657" s="46"/>
      <c r="D657" s="46"/>
      <c r="E657" s="46"/>
      <c r="F657" s="47"/>
      <c r="G657" s="47"/>
      <c r="H657" s="47"/>
      <c r="I657" s="47"/>
      <c r="J657" s="47"/>
      <c r="K657" s="47"/>
      <c r="L657" s="47"/>
      <c r="M657" s="47"/>
      <c r="N657" s="47"/>
      <c r="O657" s="47"/>
      <c r="P657" s="47"/>
      <c r="Q657" s="47"/>
      <c r="R657" s="46"/>
      <c r="S657" s="25">
        <f t="shared" si="21"/>
        <v>0</v>
      </c>
      <c r="T657" s="25">
        <f>COUNTIF($V$4:V657,V657)</f>
        <v>468</v>
      </c>
      <c r="U657" s="25" t="str">
        <f>IF(T657=1,COUNTIF($T$4:T657,1),"")</f>
        <v/>
      </c>
      <c r="V657" s="26" t="str">
        <f>'施設状況(要更新)'!$E657&amp;'施設状況(要更新)'!$C657</f>
        <v/>
      </c>
      <c r="W657" s="26">
        <f>'施設状況(要更新)'!$F657</f>
        <v>0</v>
      </c>
      <c r="X657" s="27"/>
    </row>
    <row r="658" spans="1:24">
      <c r="A658" s="45"/>
      <c r="B658" s="50"/>
      <c r="C658" s="46"/>
      <c r="D658" s="46"/>
      <c r="E658" s="46"/>
      <c r="F658" s="47"/>
      <c r="G658" s="47"/>
      <c r="H658" s="47"/>
      <c r="I658" s="47"/>
      <c r="J658" s="47"/>
      <c r="K658" s="47"/>
      <c r="L658" s="47"/>
      <c r="M658" s="47"/>
      <c r="N658" s="47"/>
      <c r="O658" s="47"/>
      <c r="P658" s="47"/>
      <c r="Q658" s="47"/>
      <c r="R658" s="46"/>
      <c r="S658" s="25">
        <f t="shared" si="21"/>
        <v>0</v>
      </c>
      <c r="T658" s="25">
        <f>COUNTIF($V$4:V658,V658)</f>
        <v>469</v>
      </c>
      <c r="U658" s="25" t="str">
        <f>IF(T658=1,COUNTIF($T$4:T658,1),"")</f>
        <v/>
      </c>
      <c r="V658" s="26" t="str">
        <f>'施設状況(要更新)'!$E658&amp;'施設状況(要更新)'!$C658</f>
        <v/>
      </c>
      <c r="W658" s="26">
        <f>'施設状況(要更新)'!$F658</f>
        <v>0</v>
      </c>
      <c r="X658" s="27"/>
    </row>
    <row r="659" spans="1:24">
      <c r="A659" s="45"/>
      <c r="B659" s="50"/>
      <c r="C659" s="46"/>
      <c r="D659" s="46"/>
      <c r="E659" s="46"/>
      <c r="F659" s="47"/>
      <c r="G659" s="47"/>
      <c r="H659" s="47"/>
      <c r="I659" s="47"/>
      <c r="J659" s="47"/>
      <c r="K659" s="47"/>
      <c r="L659" s="47"/>
      <c r="M659" s="47"/>
      <c r="N659" s="47"/>
      <c r="O659" s="47"/>
      <c r="P659" s="47"/>
      <c r="Q659" s="47"/>
      <c r="R659" s="46"/>
      <c r="S659" s="25">
        <f t="shared" si="21"/>
        <v>0</v>
      </c>
      <c r="T659" s="25">
        <f>COUNTIF($V$4:V659,V659)</f>
        <v>470</v>
      </c>
      <c r="U659" s="25" t="str">
        <f>IF(T659=1,COUNTIF($T$4:T659,1),"")</f>
        <v/>
      </c>
      <c r="V659" s="26" t="str">
        <f>'施設状況(要更新)'!$E659&amp;'施設状況(要更新)'!$C659</f>
        <v/>
      </c>
      <c r="W659" s="26">
        <f>'施設状況(要更新)'!$F659</f>
        <v>0</v>
      </c>
      <c r="X659" s="27"/>
    </row>
    <row r="660" spans="1:24">
      <c r="A660" s="45"/>
      <c r="B660" s="50"/>
      <c r="C660" s="46"/>
      <c r="D660" s="46"/>
      <c r="E660" s="46"/>
      <c r="F660" s="47"/>
      <c r="G660" s="47"/>
      <c r="H660" s="47"/>
      <c r="I660" s="47"/>
      <c r="J660" s="47"/>
      <c r="K660" s="47"/>
      <c r="L660" s="47"/>
      <c r="M660" s="47"/>
      <c r="N660" s="47"/>
      <c r="O660" s="47"/>
      <c r="P660" s="47"/>
      <c r="Q660" s="47"/>
      <c r="R660" s="46"/>
      <c r="S660" s="25">
        <f t="shared" si="21"/>
        <v>0</v>
      </c>
      <c r="T660" s="25">
        <f>COUNTIF($V$4:V660,V660)</f>
        <v>471</v>
      </c>
      <c r="U660" s="25" t="str">
        <f>IF(T660=1,COUNTIF($T$4:T660,1),"")</f>
        <v/>
      </c>
      <c r="V660" s="26" t="str">
        <f>'施設状況(要更新)'!$E660&amp;'施設状況(要更新)'!$C660</f>
        <v/>
      </c>
      <c r="W660" s="26">
        <f>'施設状況(要更新)'!$F660</f>
        <v>0</v>
      </c>
      <c r="X660" s="27"/>
    </row>
    <row r="661" spans="1:24">
      <c r="A661" s="45"/>
      <c r="B661" s="50"/>
      <c r="C661" s="46"/>
      <c r="D661" s="46"/>
      <c r="E661" s="46"/>
      <c r="F661" s="47"/>
      <c r="G661" s="47"/>
      <c r="H661" s="47"/>
      <c r="I661" s="47"/>
      <c r="J661" s="47"/>
      <c r="K661" s="47"/>
      <c r="L661" s="47"/>
      <c r="M661" s="47"/>
      <c r="N661" s="47"/>
      <c r="O661" s="47"/>
      <c r="P661" s="47"/>
      <c r="Q661" s="47"/>
      <c r="R661" s="46"/>
      <c r="S661" s="25">
        <f t="shared" si="21"/>
        <v>0</v>
      </c>
      <c r="T661" s="25">
        <f>COUNTIF($V$4:V661,V661)</f>
        <v>472</v>
      </c>
      <c r="U661" s="25" t="str">
        <f>IF(T661=1,COUNTIF($T$4:T661,1),"")</f>
        <v/>
      </c>
      <c r="V661" s="26" t="str">
        <f>'施設状況(要更新)'!$E661&amp;'施設状況(要更新)'!$C661</f>
        <v/>
      </c>
      <c r="W661" s="26">
        <f>'施設状況(要更新)'!$F661</f>
        <v>0</v>
      </c>
      <c r="X661" s="27"/>
    </row>
    <row r="662" spans="1:24">
      <c r="A662" s="45"/>
      <c r="B662" s="50"/>
      <c r="C662" s="46"/>
      <c r="D662" s="46"/>
      <c r="E662" s="46"/>
      <c r="F662" s="47"/>
      <c r="G662" s="47"/>
      <c r="H662" s="47"/>
      <c r="I662" s="47"/>
      <c r="J662" s="47"/>
      <c r="K662" s="47"/>
      <c r="L662" s="47"/>
      <c r="M662" s="47"/>
      <c r="N662" s="47"/>
      <c r="O662" s="47"/>
      <c r="P662" s="47"/>
      <c r="Q662" s="47"/>
      <c r="R662" s="46"/>
      <c r="S662" s="25">
        <f t="shared" si="21"/>
        <v>0</v>
      </c>
      <c r="T662" s="25">
        <f>COUNTIF($V$4:V662,V662)</f>
        <v>473</v>
      </c>
      <c r="U662" s="25" t="str">
        <f>IF(T662=1,COUNTIF($T$4:T662,1),"")</f>
        <v/>
      </c>
      <c r="V662" s="26" t="str">
        <f>'施設状況(要更新)'!$E662&amp;'施設状況(要更新)'!$C662</f>
        <v/>
      </c>
      <c r="W662" s="26">
        <f>'施設状況(要更新)'!$F662</f>
        <v>0</v>
      </c>
      <c r="X662" s="27"/>
    </row>
    <row r="663" spans="1:24">
      <c r="A663" s="45"/>
      <c r="B663" s="50"/>
      <c r="C663" s="46"/>
      <c r="D663" s="46"/>
      <c r="E663" s="46"/>
      <c r="F663" s="47"/>
      <c r="G663" s="47"/>
      <c r="H663" s="47"/>
      <c r="I663" s="47"/>
      <c r="J663" s="47"/>
      <c r="K663" s="47"/>
      <c r="L663" s="47"/>
      <c r="M663" s="47"/>
      <c r="N663" s="47"/>
      <c r="O663" s="47"/>
      <c r="P663" s="47"/>
      <c r="Q663" s="47"/>
      <c r="R663" s="46"/>
      <c r="S663" s="25">
        <f t="shared" si="21"/>
        <v>0</v>
      </c>
      <c r="T663" s="25">
        <f>COUNTIF($V$4:V663,V663)</f>
        <v>474</v>
      </c>
      <c r="U663" s="25" t="str">
        <f>IF(T663=1,COUNTIF($T$4:T663,1),"")</f>
        <v/>
      </c>
      <c r="V663" s="26" t="str">
        <f>'施設状況(要更新)'!$E663&amp;'施設状況(要更新)'!$C663</f>
        <v/>
      </c>
      <c r="W663" s="26">
        <f>'施設状況(要更新)'!$F663</f>
        <v>0</v>
      </c>
      <c r="X663" s="27"/>
    </row>
    <row r="664" spans="1:24">
      <c r="A664" s="45"/>
      <c r="B664" s="50"/>
      <c r="C664" s="46"/>
      <c r="D664" s="46"/>
      <c r="E664" s="46"/>
      <c r="F664" s="47"/>
      <c r="G664" s="47"/>
      <c r="H664" s="47"/>
      <c r="I664" s="47"/>
      <c r="J664" s="47"/>
      <c r="K664" s="47"/>
      <c r="L664" s="47"/>
      <c r="M664" s="47"/>
      <c r="N664" s="47"/>
      <c r="O664" s="47"/>
      <c r="P664" s="47"/>
      <c r="Q664" s="47"/>
      <c r="R664" s="46"/>
      <c r="S664" s="25">
        <f t="shared" si="21"/>
        <v>0</v>
      </c>
      <c r="T664" s="25">
        <f>COUNTIF($V$4:V664,V664)</f>
        <v>475</v>
      </c>
      <c r="U664" s="25" t="str">
        <f>IF(T664=1,COUNTIF($T$4:T664,1),"")</f>
        <v/>
      </c>
      <c r="V664" s="26" t="str">
        <f>'施設状況(要更新)'!$E664&amp;'施設状況(要更新)'!$C664</f>
        <v/>
      </c>
      <c r="W664" s="26">
        <f>'施設状況(要更新)'!$F664</f>
        <v>0</v>
      </c>
      <c r="X664" s="27"/>
    </row>
    <row r="665" spans="1:24">
      <c r="A665" s="45"/>
      <c r="B665" s="50"/>
      <c r="C665" s="46"/>
      <c r="D665" s="46"/>
      <c r="E665" s="46"/>
      <c r="F665" s="47"/>
      <c r="G665" s="47"/>
      <c r="H665" s="47"/>
      <c r="I665" s="47"/>
      <c r="J665" s="47"/>
      <c r="K665" s="47"/>
      <c r="L665" s="47"/>
      <c r="M665" s="47"/>
      <c r="N665" s="47"/>
      <c r="O665" s="47"/>
      <c r="P665" s="47"/>
      <c r="Q665" s="47"/>
      <c r="R665" s="46"/>
      <c r="S665" s="25">
        <f t="shared" si="21"/>
        <v>0</v>
      </c>
      <c r="T665" s="25">
        <f>COUNTIF($V$4:V665,V665)</f>
        <v>476</v>
      </c>
      <c r="U665" s="25" t="str">
        <f>IF(T665=1,COUNTIF($T$4:T665,1),"")</f>
        <v/>
      </c>
      <c r="V665" s="26" t="str">
        <f>'施設状況(要更新)'!$E665&amp;'施設状況(要更新)'!$C665</f>
        <v/>
      </c>
      <c r="W665" s="26">
        <f>'施設状況(要更新)'!$F665</f>
        <v>0</v>
      </c>
      <c r="X665" s="27"/>
    </row>
    <row r="666" spans="1:24">
      <c r="A666" s="45"/>
      <c r="B666" s="50"/>
      <c r="C666" s="46"/>
      <c r="D666" s="46"/>
      <c r="E666" s="46"/>
      <c r="F666" s="47"/>
      <c r="G666" s="47"/>
      <c r="H666" s="47"/>
      <c r="I666" s="47"/>
      <c r="J666" s="47"/>
      <c r="K666" s="47"/>
      <c r="L666" s="47"/>
      <c r="M666" s="47"/>
      <c r="N666" s="47"/>
      <c r="O666" s="47"/>
      <c r="P666" s="47"/>
      <c r="Q666" s="47"/>
      <c r="R666" s="46"/>
      <c r="S666" s="25">
        <f t="shared" si="21"/>
        <v>0</v>
      </c>
      <c r="T666" s="25">
        <f>COUNTIF($V$4:V666,V666)</f>
        <v>477</v>
      </c>
      <c r="U666" s="25" t="str">
        <f>IF(T666=1,COUNTIF($T$4:T666,1),"")</f>
        <v/>
      </c>
      <c r="V666" s="26" t="str">
        <f>'施設状況(要更新)'!$E666&amp;'施設状況(要更新)'!$C666</f>
        <v/>
      </c>
      <c r="W666" s="26">
        <f>'施設状況(要更新)'!$F666</f>
        <v>0</v>
      </c>
      <c r="X666" s="27"/>
    </row>
    <row r="667" spans="1:24">
      <c r="A667" s="45"/>
      <c r="B667" s="50"/>
      <c r="C667" s="46"/>
      <c r="D667" s="46"/>
      <c r="E667" s="46"/>
      <c r="F667" s="47"/>
      <c r="G667" s="47"/>
      <c r="H667" s="47"/>
      <c r="I667" s="47"/>
      <c r="J667" s="47"/>
      <c r="K667" s="47"/>
      <c r="L667" s="47"/>
      <c r="M667" s="47"/>
      <c r="N667" s="47"/>
      <c r="O667" s="47"/>
      <c r="P667" s="47"/>
      <c r="Q667" s="47"/>
      <c r="R667" s="46"/>
      <c r="S667" s="25">
        <f t="shared" si="21"/>
        <v>0</v>
      </c>
      <c r="T667" s="25">
        <f>COUNTIF($V$4:V667,V667)</f>
        <v>478</v>
      </c>
      <c r="U667" s="25" t="str">
        <f>IF(T667=1,COUNTIF($T$4:T667,1),"")</f>
        <v/>
      </c>
      <c r="V667" s="26" t="str">
        <f>'施設状況(要更新)'!$E667&amp;'施設状況(要更新)'!$C667</f>
        <v/>
      </c>
      <c r="W667" s="26">
        <f>'施設状況(要更新)'!$F667</f>
        <v>0</v>
      </c>
      <c r="X667" s="27"/>
    </row>
    <row r="668" spans="1:24">
      <c r="A668" s="45"/>
      <c r="B668" s="50"/>
      <c r="C668" s="46"/>
      <c r="D668" s="46"/>
      <c r="E668" s="46"/>
      <c r="F668" s="47"/>
      <c r="G668" s="47"/>
      <c r="H668" s="47"/>
      <c r="I668" s="47"/>
      <c r="J668" s="47"/>
      <c r="K668" s="47"/>
      <c r="L668" s="47"/>
      <c r="M668" s="47"/>
      <c r="N668" s="47"/>
      <c r="O668" s="47"/>
      <c r="P668" s="47"/>
      <c r="Q668" s="47"/>
      <c r="R668" s="46"/>
      <c r="S668" s="25">
        <f t="shared" si="21"/>
        <v>0</v>
      </c>
      <c r="T668" s="25">
        <f>COUNTIF($V$4:V668,V668)</f>
        <v>479</v>
      </c>
      <c r="U668" s="25" t="str">
        <f>IF(T668=1,COUNTIF($T$4:T668,1),"")</f>
        <v/>
      </c>
      <c r="V668" s="26" t="str">
        <f>'施設状況(要更新)'!$E668&amp;'施設状況(要更新)'!$C668</f>
        <v/>
      </c>
      <c r="W668" s="26">
        <f>'施設状況(要更新)'!$F668</f>
        <v>0</v>
      </c>
      <c r="X668" s="27"/>
    </row>
    <row r="669" spans="1:24">
      <c r="A669" s="45"/>
      <c r="B669" s="50"/>
      <c r="C669" s="46"/>
      <c r="D669" s="46"/>
      <c r="E669" s="46"/>
      <c r="F669" s="47"/>
      <c r="G669" s="47"/>
      <c r="H669" s="47"/>
      <c r="I669" s="47"/>
      <c r="J669" s="47"/>
      <c r="K669" s="47"/>
      <c r="L669" s="47"/>
      <c r="M669" s="47"/>
      <c r="N669" s="47"/>
      <c r="O669" s="47"/>
      <c r="P669" s="47"/>
      <c r="Q669" s="47"/>
      <c r="R669" s="46"/>
      <c r="S669" s="25">
        <f t="shared" si="21"/>
        <v>0</v>
      </c>
      <c r="T669" s="25">
        <f>COUNTIF($V$4:V669,V669)</f>
        <v>480</v>
      </c>
      <c r="U669" s="25" t="str">
        <f>IF(T669=1,COUNTIF($T$4:T669,1),"")</f>
        <v/>
      </c>
      <c r="V669" s="26" t="str">
        <f>'施設状況(要更新)'!$E669&amp;'施設状況(要更新)'!$C669</f>
        <v/>
      </c>
      <c r="W669" s="26">
        <f>'施設状況(要更新)'!$F669</f>
        <v>0</v>
      </c>
      <c r="X669" s="27"/>
    </row>
    <row r="670" spans="1:24">
      <c r="A670" s="45"/>
      <c r="B670" s="50"/>
      <c r="C670" s="46"/>
      <c r="D670" s="46"/>
      <c r="E670" s="46"/>
      <c r="F670" s="47"/>
      <c r="G670" s="47"/>
      <c r="H670" s="47"/>
      <c r="I670" s="47"/>
      <c r="J670" s="47"/>
      <c r="K670" s="47"/>
      <c r="L670" s="47"/>
      <c r="M670" s="47"/>
      <c r="N670" s="47"/>
      <c r="O670" s="47"/>
      <c r="P670" s="47"/>
      <c r="Q670" s="47"/>
      <c r="R670" s="46"/>
      <c r="S670" s="25">
        <f t="shared" si="21"/>
        <v>0</v>
      </c>
      <c r="T670" s="25">
        <f>COUNTIF($V$4:V670,V670)</f>
        <v>481</v>
      </c>
      <c r="U670" s="25" t="str">
        <f>IF(T670=1,COUNTIF($T$4:T670,1),"")</f>
        <v/>
      </c>
      <c r="V670" s="26" t="str">
        <f>'施設状況(要更新)'!$E670&amp;'施設状況(要更新)'!$C670</f>
        <v/>
      </c>
      <c r="W670" s="26">
        <f>'施設状況(要更新)'!$F670</f>
        <v>0</v>
      </c>
      <c r="X670" s="27"/>
    </row>
    <row r="671" spans="1:24">
      <c r="A671" s="45"/>
      <c r="B671" s="50"/>
      <c r="C671" s="46"/>
      <c r="D671" s="46"/>
      <c r="E671" s="46"/>
      <c r="F671" s="47"/>
      <c r="G671" s="47"/>
      <c r="H671" s="47"/>
      <c r="I671" s="47"/>
      <c r="J671" s="47"/>
      <c r="K671" s="47"/>
      <c r="L671" s="47"/>
      <c r="M671" s="47"/>
      <c r="N671" s="47"/>
      <c r="O671" s="47"/>
      <c r="P671" s="47"/>
      <c r="Q671" s="47"/>
      <c r="R671" s="46"/>
      <c r="S671" s="25">
        <f t="shared" si="21"/>
        <v>0</v>
      </c>
      <c r="T671" s="25">
        <f>COUNTIF($V$4:V671,V671)</f>
        <v>482</v>
      </c>
      <c r="U671" s="25" t="str">
        <f>IF(T671=1,COUNTIF($T$4:T671,1),"")</f>
        <v/>
      </c>
      <c r="V671" s="26" t="str">
        <f>'施設状況(要更新)'!$E671&amp;'施設状況(要更新)'!$C671</f>
        <v/>
      </c>
      <c r="W671" s="26">
        <f>'施設状況(要更新)'!$F671</f>
        <v>0</v>
      </c>
      <c r="X671" s="27"/>
    </row>
    <row r="672" spans="1:24">
      <c r="A672" s="45"/>
      <c r="B672" s="50"/>
      <c r="C672" s="46"/>
      <c r="D672" s="46"/>
      <c r="E672" s="46"/>
      <c r="F672" s="47"/>
      <c r="G672" s="47"/>
      <c r="H672" s="47"/>
      <c r="I672" s="47"/>
      <c r="J672" s="47"/>
      <c r="K672" s="47"/>
      <c r="L672" s="47"/>
      <c r="M672" s="47"/>
      <c r="N672" s="47"/>
      <c r="O672" s="47"/>
      <c r="P672" s="47"/>
      <c r="Q672" s="47"/>
      <c r="R672" s="46"/>
      <c r="S672" s="25">
        <f t="shared" si="21"/>
        <v>0</v>
      </c>
      <c r="T672" s="25">
        <f>COUNTIF($V$4:V672,V672)</f>
        <v>483</v>
      </c>
      <c r="U672" s="25" t="str">
        <f>IF(T672=1,COUNTIF($T$4:T672,1),"")</f>
        <v/>
      </c>
      <c r="V672" s="26" t="str">
        <f>'施設状況(要更新)'!$E672&amp;'施設状況(要更新)'!$C672</f>
        <v/>
      </c>
      <c r="W672" s="26">
        <f>'施設状況(要更新)'!$F672</f>
        <v>0</v>
      </c>
      <c r="X672" s="27"/>
    </row>
    <row r="673" spans="1:24">
      <c r="A673" s="45"/>
      <c r="B673" s="50"/>
      <c r="C673" s="46"/>
      <c r="D673" s="46"/>
      <c r="E673" s="46"/>
      <c r="F673" s="47"/>
      <c r="G673" s="47"/>
      <c r="H673" s="47"/>
      <c r="I673" s="47"/>
      <c r="J673" s="47"/>
      <c r="K673" s="47"/>
      <c r="L673" s="47"/>
      <c r="M673" s="47"/>
      <c r="N673" s="47"/>
      <c r="O673" s="47"/>
      <c r="P673" s="47"/>
      <c r="Q673" s="47"/>
      <c r="R673" s="46"/>
      <c r="S673" s="25">
        <f t="shared" si="21"/>
        <v>0</v>
      </c>
      <c r="T673" s="25">
        <f>COUNTIF($V$4:V673,V673)</f>
        <v>484</v>
      </c>
      <c r="U673" s="25" t="str">
        <f>IF(T673=1,COUNTIF($T$4:T673,1),"")</f>
        <v/>
      </c>
      <c r="V673" s="26" t="str">
        <f>'施設状況(要更新)'!$E673&amp;'施設状況(要更新)'!$C673</f>
        <v/>
      </c>
      <c r="W673" s="26">
        <f>'施設状況(要更新)'!$F673</f>
        <v>0</v>
      </c>
      <c r="X673" s="27"/>
    </row>
    <row r="674" spans="1:24">
      <c r="A674" s="45"/>
      <c r="B674" s="50"/>
      <c r="C674" s="46"/>
      <c r="D674" s="46"/>
      <c r="E674" s="46"/>
      <c r="F674" s="47"/>
      <c r="G674" s="47"/>
      <c r="H674" s="47"/>
      <c r="I674" s="47"/>
      <c r="J674" s="47"/>
      <c r="K674" s="47"/>
      <c r="L674" s="47"/>
      <c r="M674" s="47"/>
      <c r="N674" s="47"/>
      <c r="O674" s="47"/>
      <c r="P674" s="47"/>
      <c r="Q674" s="47"/>
      <c r="R674" s="46"/>
      <c r="S674" s="25">
        <f t="shared" si="21"/>
        <v>0</v>
      </c>
      <c r="T674" s="25">
        <f>COUNTIF($V$4:V674,V674)</f>
        <v>485</v>
      </c>
      <c r="U674" s="25" t="str">
        <f>IF(T674=1,COUNTIF($T$4:T674,1),"")</f>
        <v/>
      </c>
      <c r="V674" s="26" t="str">
        <f>'施設状況(要更新)'!$E674&amp;'施設状況(要更新)'!$C674</f>
        <v/>
      </c>
      <c r="W674" s="26">
        <f>'施設状況(要更新)'!$F674</f>
        <v>0</v>
      </c>
      <c r="X674" s="27"/>
    </row>
    <row r="675" spans="1:24">
      <c r="A675" s="45"/>
      <c r="B675" s="50"/>
      <c r="C675" s="46"/>
      <c r="D675" s="46"/>
      <c r="E675" s="46"/>
      <c r="F675" s="47"/>
      <c r="G675" s="47"/>
      <c r="H675" s="47"/>
      <c r="I675" s="47"/>
      <c r="J675" s="47"/>
      <c r="K675" s="47"/>
      <c r="L675" s="47"/>
      <c r="M675" s="47"/>
      <c r="N675" s="47"/>
      <c r="O675" s="47"/>
      <c r="P675" s="47"/>
      <c r="Q675" s="47"/>
      <c r="R675" s="46"/>
      <c r="S675" s="25">
        <f t="shared" si="21"/>
        <v>0</v>
      </c>
      <c r="T675" s="25">
        <f>COUNTIF($V$4:V675,V675)</f>
        <v>486</v>
      </c>
      <c r="U675" s="25" t="str">
        <f>IF(T675=1,COUNTIF($T$4:T675,1),"")</f>
        <v/>
      </c>
      <c r="V675" s="26" t="str">
        <f>'施設状況(要更新)'!$E675&amp;'施設状況(要更新)'!$C675</f>
        <v/>
      </c>
      <c r="W675" s="26">
        <f>'施設状況(要更新)'!$F675</f>
        <v>0</v>
      </c>
      <c r="X675" s="27"/>
    </row>
    <row r="676" spans="1:24">
      <c r="A676" s="45"/>
      <c r="B676" s="50"/>
      <c r="C676" s="46"/>
      <c r="D676" s="46"/>
      <c r="E676" s="46"/>
      <c r="F676" s="47"/>
      <c r="G676" s="47"/>
      <c r="H676" s="47"/>
      <c r="I676" s="47"/>
      <c r="J676" s="47"/>
      <c r="K676" s="47"/>
      <c r="L676" s="47"/>
      <c r="M676" s="47"/>
      <c r="N676" s="47"/>
      <c r="O676" s="47"/>
      <c r="P676" s="47"/>
      <c r="Q676" s="47"/>
      <c r="R676" s="46"/>
      <c r="S676" s="25">
        <f t="shared" si="21"/>
        <v>0</v>
      </c>
      <c r="T676" s="25">
        <f>COUNTIF($V$4:V676,V676)</f>
        <v>487</v>
      </c>
      <c r="U676" s="25" t="str">
        <f>IF(T676=1,COUNTIF($T$4:T676,1),"")</f>
        <v/>
      </c>
      <c r="V676" s="26" t="str">
        <f>'施設状況(要更新)'!$E676&amp;'施設状況(要更新)'!$C676</f>
        <v/>
      </c>
      <c r="W676" s="26">
        <f>'施設状況(要更新)'!$F676</f>
        <v>0</v>
      </c>
      <c r="X676" s="27"/>
    </row>
    <row r="677" spans="1:24">
      <c r="A677" s="45"/>
      <c r="B677" s="50"/>
      <c r="C677" s="46"/>
      <c r="D677" s="46"/>
      <c r="E677" s="46"/>
      <c r="F677" s="47"/>
      <c r="G677" s="47"/>
      <c r="H677" s="47"/>
      <c r="I677" s="47"/>
      <c r="J677" s="47"/>
      <c r="K677" s="47"/>
      <c r="L677" s="47"/>
      <c r="M677" s="47"/>
      <c r="N677" s="47"/>
      <c r="O677" s="47"/>
      <c r="P677" s="47"/>
      <c r="Q677" s="47"/>
      <c r="R677" s="46"/>
      <c r="S677" s="25">
        <f t="shared" si="21"/>
        <v>0</v>
      </c>
      <c r="T677" s="25">
        <f>COUNTIF($V$4:V677,V677)</f>
        <v>488</v>
      </c>
      <c r="U677" s="25" t="str">
        <f>IF(T677=1,COUNTIF($T$4:T677,1),"")</f>
        <v/>
      </c>
      <c r="V677" s="26" t="str">
        <f>'施設状況(要更新)'!$E677&amp;'施設状況(要更新)'!$C677</f>
        <v/>
      </c>
      <c r="W677" s="26">
        <f>'施設状況(要更新)'!$F677</f>
        <v>0</v>
      </c>
      <c r="X677" s="27"/>
    </row>
    <row r="678" spans="1:24">
      <c r="A678" s="45"/>
      <c r="B678" s="50"/>
      <c r="C678" s="46"/>
      <c r="D678" s="46"/>
      <c r="E678" s="46"/>
      <c r="F678" s="47"/>
      <c r="G678" s="47"/>
      <c r="H678" s="47"/>
      <c r="I678" s="47"/>
      <c r="J678" s="47"/>
      <c r="K678" s="47"/>
      <c r="L678" s="47"/>
      <c r="M678" s="47"/>
      <c r="N678" s="47"/>
      <c r="O678" s="47"/>
      <c r="P678" s="47"/>
      <c r="Q678" s="47"/>
      <c r="R678" s="46"/>
      <c r="S678" s="25">
        <f t="shared" si="21"/>
        <v>0</v>
      </c>
      <c r="T678" s="25">
        <f>COUNTIF($V$4:V678,V678)</f>
        <v>489</v>
      </c>
      <c r="U678" s="25" t="str">
        <f>IF(T678=1,COUNTIF($T$4:T678,1),"")</f>
        <v/>
      </c>
      <c r="V678" s="26" t="str">
        <f>'施設状況(要更新)'!$E678&amp;'施設状況(要更新)'!$C678</f>
        <v/>
      </c>
      <c r="W678" s="26">
        <f>'施設状況(要更新)'!$F678</f>
        <v>0</v>
      </c>
      <c r="X678" s="27"/>
    </row>
    <row r="679" spans="1:24">
      <c r="A679" s="55"/>
      <c r="B679" s="56"/>
      <c r="C679" s="56"/>
      <c r="D679" s="57" t="s">
        <v>411</v>
      </c>
      <c r="E679" s="57"/>
      <c r="F679" s="58">
        <f>SUBTOTAL(103,'施設状況(要更新)'!$F$4:$F$678)</f>
        <v>186</v>
      </c>
      <c r="G679" s="58">
        <f>SUBTOTAL(109,'施設状況(要更新)'!$G$4:$G$678)</f>
        <v>0</v>
      </c>
      <c r="H679" s="58">
        <f>SUBTOTAL(109,'施設状況(要更新)'!$H$4:$H$678)</f>
        <v>0</v>
      </c>
      <c r="I679" s="58">
        <f>SUBTOTAL(109,'施設状況(要更新)'!$I$4:$I$678)</f>
        <v>0</v>
      </c>
      <c r="J679" s="57" t="s">
        <v>412</v>
      </c>
      <c r="K679" s="59">
        <f>SUBTOTAL(109,'施設状況(要更新)'!$K$4:$K$678)</f>
        <v>0</v>
      </c>
      <c r="L679" s="59">
        <f>SUBTOTAL(109,'施設状況(要更新)'!$L$4:$L$678)</f>
        <v>7734</v>
      </c>
      <c r="M679" s="59">
        <f>SUBTOTAL(109,'施設状況(要更新)'!$M$4:$M$678)</f>
        <v>1307</v>
      </c>
      <c r="N679" s="59">
        <f>SUBTOTAL(109,'施設状況(要更新)'!$N$4:$N$678)</f>
        <v>4676</v>
      </c>
      <c r="O679" s="59">
        <f>SUBTOTAL(109,'施設状況(要更新)'!$O$4:$O$678)</f>
        <v>5983</v>
      </c>
      <c r="P679" s="59"/>
      <c r="Q679" s="59"/>
      <c r="R679" s="60">
        <f>SUBTOTAL(109,'施設状況(要更新)'!$R$4:$R$678)</f>
        <v>13717</v>
      </c>
      <c r="S679" s="25"/>
      <c r="T679" s="25"/>
      <c r="U679" s="25"/>
      <c r="V679" s="26"/>
      <c r="W679" s="26"/>
      <c r="X679" s="27"/>
    </row>
    <row r="680" spans="1:24">
      <c r="A680" s="25"/>
      <c r="B680" s="25"/>
      <c r="C680" s="25"/>
      <c r="D680" s="25"/>
      <c r="E680" s="25"/>
      <c r="F680" s="61">
        <v>1</v>
      </c>
      <c r="G680" s="61">
        <v>2</v>
      </c>
      <c r="H680" s="61">
        <v>3</v>
      </c>
      <c r="I680" s="61">
        <v>4</v>
      </c>
      <c r="J680" s="61">
        <v>5</v>
      </c>
      <c r="K680" s="61">
        <v>6</v>
      </c>
      <c r="L680" s="61">
        <v>7</v>
      </c>
      <c r="M680" s="61">
        <v>8</v>
      </c>
      <c r="N680" s="61">
        <v>9</v>
      </c>
      <c r="O680" s="61">
        <v>10</v>
      </c>
      <c r="P680" s="61">
        <v>11</v>
      </c>
      <c r="Q680" s="61"/>
      <c r="R680" s="61">
        <v>12</v>
      </c>
      <c r="S680" s="25"/>
      <c r="T680" s="25"/>
      <c r="U680" s="25"/>
      <c r="V680" s="26"/>
      <c r="W680" s="26"/>
      <c r="X680" s="27"/>
    </row>
    <row r="681" spans="1:24">
      <c r="S681" s="25"/>
      <c r="T681" s="25"/>
      <c r="U681" s="25"/>
      <c r="V681" s="26"/>
      <c r="W681" s="26"/>
      <c r="X681" s="27"/>
    </row>
    <row r="682" spans="1:24">
      <c r="S682" s="25"/>
      <c r="T682" s="25"/>
      <c r="U682" s="25"/>
      <c r="V682" s="26"/>
      <c r="W682" s="26"/>
      <c r="X682" s="27"/>
    </row>
    <row r="683" spans="1:24">
      <c r="S683" s="25"/>
      <c r="T683" s="25"/>
      <c r="U683" s="25"/>
      <c r="V683" s="26"/>
      <c r="W683" s="26"/>
      <c r="X683" s="27"/>
    </row>
    <row r="684" spans="1:24">
      <c r="S684" s="25"/>
      <c r="T684" s="25"/>
      <c r="U684" s="25"/>
      <c r="V684" s="26"/>
      <c r="W684" s="26"/>
      <c r="X684" s="27"/>
    </row>
    <row r="685" spans="1:24">
      <c r="S685" s="25"/>
      <c r="T685" s="25"/>
      <c r="U685" s="25"/>
      <c r="V685" s="26"/>
      <c r="W685" s="26"/>
      <c r="X685" s="27"/>
    </row>
    <row r="686" spans="1:24">
      <c r="S686" s="25"/>
      <c r="T686" s="25"/>
      <c r="U686" s="25"/>
      <c r="V686" s="26"/>
      <c r="W686" s="26"/>
      <c r="X686" s="27"/>
    </row>
    <row r="687" spans="1:24">
      <c r="S687" s="25"/>
      <c r="T687" s="25"/>
      <c r="U687" s="25"/>
      <c r="V687" s="26"/>
      <c r="W687" s="26"/>
      <c r="X687" s="27"/>
    </row>
    <row r="688" spans="1:24">
      <c r="S688" s="25"/>
      <c r="T688" s="25"/>
      <c r="U688" s="25"/>
      <c r="V688" s="26"/>
      <c r="W688" s="26"/>
      <c r="X688" s="27"/>
    </row>
    <row r="689" spans="19:24">
      <c r="S689" s="25"/>
      <c r="T689" s="25"/>
      <c r="U689" s="25"/>
      <c r="V689" s="26"/>
      <c r="W689" s="26"/>
      <c r="X689" s="27"/>
    </row>
    <row r="690" spans="19:24">
      <c r="S690" s="25"/>
      <c r="T690" s="25"/>
      <c r="U690" s="25"/>
      <c r="V690" s="26"/>
      <c r="W690" s="26"/>
      <c r="X690" s="27"/>
    </row>
    <row r="691" spans="19:24">
      <c r="S691" s="25"/>
      <c r="T691" s="25"/>
      <c r="U691" s="25"/>
      <c r="V691" s="26"/>
      <c r="W691" s="26"/>
      <c r="X691" s="27"/>
    </row>
    <row r="692" spans="19:24">
      <c r="S692" s="25"/>
      <c r="T692" s="25"/>
      <c r="U692" s="25"/>
      <c r="V692" s="26"/>
      <c r="W692" s="26"/>
      <c r="X692" s="27"/>
    </row>
    <row r="693" spans="19:24">
      <c r="S693" s="25"/>
      <c r="T693" s="25"/>
      <c r="U693" s="25"/>
      <c r="V693" s="26"/>
      <c r="W693" s="26"/>
      <c r="X693" s="27"/>
    </row>
    <row r="694" spans="19:24">
      <c r="S694" s="25"/>
      <c r="T694" s="25"/>
      <c r="U694" s="25"/>
      <c r="V694" s="26"/>
      <c r="W694" s="26"/>
      <c r="X694" s="27"/>
    </row>
    <row r="695" spans="19:24">
      <c r="S695" s="25"/>
      <c r="T695" s="25"/>
      <c r="U695" s="25"/>
      <c r="V695" s="26"/>
      <c r="W695" s="26"/>
      <c r="X695" s="27"/>
    </row>
    <row r="696" spans="19:24">
      <c r="S696" s="25"/>
      <c r="T696" s="25"/>
      <c r="U696" s="25"/>
      <c r="V696" s="26"/>
      <c r="W696" s="26"/>
      <c r="X696" s="27"/>
    </row>
    <row r="697" spans="19:24">
      <c r="S697" s="25"/>
      <c r="T697" s="25"/>
      <c r="U697" s="25"/>
      <c r="V697" s="26"/>
      <c r="W697" s="26"/>
      <c r="X697" s="27"/>
    </row>
    <row r="698" spans="19:24">
      <c r="S698" s="25"/>
      <c r="T698" s="25"/>
      <c r="U698" s="25"/>
      <c r="V698" s="26"/>
      <c r="W698" s="26"/>
      <c r="X698" s="27"/>
    </row>
    <row r="699" spans="19:24">
      <c r="S699" s="25"/>
      <c r="T699" s="25"/>
      <c r="U699" s="25"/>
      <c r="V699" s="26"/>
      <c r="W699" s="26"/>
      <c r="X699" s="27"/>
    </row>
    <row r="700" spans="19:24">
      <c r="S700" s="25"/>
      <c r="T700" s="25"/>
      <c r="U700" s="25"/>
      <c r="V700" s="26"/>
      <c r="W700" s="26"/>
      <c r="X700" s="27"/>
    </row>
    <row r="701" spans="19:24">
      <c r="S701" s="25"/>
      <c r="T701" s="25"/>
      <c r="U701" s="25"/>
      <c r="V701" s="26"/>
      <c r="W701" s="26"/>
      <c r="X701" s="27"/>
    </row>
    <row r="702" spans="19:24">
      <c r="S702" s="25"/>
      <c r="T702" s="25"/>
      <c r="U702" s="25"/>
      <c r="V702" s="26"/>
      <c r="W702" s="26"/>
      <c r="X702" s="27"/>
    </row>
    <row r="703" spans="19:24">
      <c r="S703" s="25"/>
      <c r="T703" s="25"/>
      <c r="U703" s="25"/>
      <c r="V703" s="26"/>
      <c r="W703" s="26"/>
      <c r="X703" s="27"/>
    </row>
    <row r="704" spans="19:24">
      <c r="S704" s="25"/>
      <c r="T704" s="25"/>
      <c r="U704" s="25"/>
      <c r="V704" s="26"/>
      <c r="W704" s="26"/>
      <c r="X704" s="27"/>
    </row>
    <row r="705" spans="19:24">
      <c r="S705" s="25"/>
      <c r="T705" s="25"/>
      <c r="U705" s="25"/>
      <c r="V705" s="26"/>
      <c r="W705" s="26"/>
      <c r="X705" s="27"/>
    </row>
    <row r="706" spans="19:24">
      <c r="S706" s="25"/>
      <c r="T706" s="25"/>
      <c r="U706" s="25"/>
      <c r="V706" s="26"/>
      <c r="W706" s="26"/>
      <c r="X706" s="27"/>
    </row>
    <row r="707" spans="19:24">
      <c r="S707" s="25"/>
      <c r="T707" s="25"/>
      <c r="U707" s="25"/>
      <c r="V707" s="26"/>
      <c r="W707" s="26"/>
      <c r="X707" s="27"/>
    </row>
    <row r="708" spans="19:24">
      <c r="S708" s="25"/>
      <c r="T708" s="25"/>
      <c r="U708" s="25"/>
      <c r="V708" s="26"/>
      <c r="W708" s="26"/>
      <c r="X708" s="27"/>
    </row>
    <row r="709" spans="19:24">
      <c r="S709" s="25"/>
      <c r="T709" s="25"/>
      <c r="U709" s="25"/>
      <c r="V709" s="26"/>
      <c r="W709" s="26"/>
      <c r="X709" s="27"/>
    </row>
    <row r="710" spans="19:24">
      <c r="S710" s="25"/>
      <c r="T710" s="25"/>
      <c r="U710" s="25"/>
      <c r="V710" s="26"/>
      <c r="W710" s="26"/>
      <c r="X710" s="27"/>
    </row>
    <row r="711" spans="19:24">
      <c r="S711" s="25"/>
      <c r="T711" s="25"/>
      <c r="U711" s="25"/>
      <c r="V711" s="26"/>
      <c r="W711" s="26"/>
      <c r="X711" s="27"/>
    </row>
    <row r="712" spans="19:24">
      <c r="S712" s="25"/>
      <c r="T712" s="25"/>
      <c r="U712" s="25"/>
      <c r="V712" s="26"/>
      <c r="W712" s="26"/>
      <c r="X712" s="27"/>
    </row>
    <row r="713" spans="19:24">
      <c r="S713" s="25"/>
      <c r="T713" s="25"/>
      <c r="U713" s="25"/>
      <c r="V713" s="26"/>
      <c r="W713" s="26"/>
      <c r="X713" s="27"/>
    </row>
    <row r="714" spans="19:24">
      <c r="S714" s="25"/>
      <c r="T714" s="25"/>
      <c r="U714" s="25"/>
      <c r="V714" s="26"/>
      <c r="W714" s="26"/>
      <c r="X714" s="27"/>
    </row>
    <row r="715" spans="19:24">
      <c r="S715" s="25"/>
      <c r="T715" s="25"/>
      <c r="U715" s="25"/>
      <c r="V715" s="26"/>
      <c r="W715" s="26"/>
      <c r="X715" s="27"/>
    </row>
    <row r="716" spans="19:24">
      <c r="S716" s="25"/>
      <c r="T716" s="25"/>
      <c r="U716" s="25"/>
      <c r="V716" s="26"/>
      <c r="W716" s="26"/>
      <c r="X716" s="27"/>
    </row>
    <row r="717" spans="19:24">
      <c r="S717" s="25"/>
      <c r="T717" s="25"/>
      <c r="U717" s="25"/>
      <c r="V717" s="26"/>
      <c r="W717" s="26"/>
      <c r="X717" s="27"/>
    </row>
    <row r="718" spans="19:24">
      <c r="S718" s="25"/>
      <c r="T718" s="25"/>
      <c r="U718" s="25"/>
      <c r="V718" s="26"/>
      <c r="W718" s="26"/>
      <c r="X718" s="27"/>
    </row>
    <row r="719" spans="19:24">
      <c r="S719" s="25"/>
      <c r="T719" s="25"/>
      <c r="U719" s="25"/>
      <c r="V719" s="26"/>
      <c r="W719" s="26"/>
      <c r="X719" s="27"/>
    </row>
    <row r="720" spans="19:24">
      <c r="S720" s="25"/>
      <c r="T720" s="25"/>
      <c r="U720" s="25"/>
      <c r="V720" s="26"/>
      <c r="W720" s="26"/>
      <c r="X720" s="27"/>
    </row>
    <row r="721" spans="19:24">
      <c r="S721" s="25"/>
      <c r="T721" s="25"/>
      <c r="U721" s="25"/>
      <c r="V721" s="26"/>
      <c r="W721" s="26"/>
      <c r="X721" s="27"/>
    </row>
    <row r="722" spans="19:24">
      <c r="S722" s="25"/>
      <c r="T722" s="25"/>
      <c r="U722" s="25"/>
      <c r="V722" s="26"/>
      <c r="W722" s="26"/>
      <c r="X722" s="27"/>
    </row>
    <row r="723" spans="19:24">
      <c r="S723" s="25"/>
      <c r="T723" s="25"/>
      <c r="U723" s="25"/>
      <c r="V723" s="26"/>
      <c r="W723" s="26"/>
      <c r="X723" s="27"/>
    </row>
    <row r="724" spans="19:24">
      <c r="S724" s="25"/>
      <c r="T724" s="25"/>
      <c r="U724" s="25"/>
      <c r="V724" s="26"/>
      <c r="W724" s="26"/>
      <c r="X724" s="27"/>
    </row>
    <row r="725" spans="19:24">
      <c r="S725" s="25"/>
      <c r="T725" s="25"/>
      <c r="U725" s="25"/>
      <c r="V725" s="26"/>
      <c r="W725" s="26"/>
      <c r="X725" s="27"/>
    </row>
    <row r="726" spans="19:24">
      <c r="S726" s="25"/>
      <c r="T726" s="25"/>
      <c r="U726" s="25"/>
      <c r="V726" s="26"/>
      <c r="W726" s="26"/>
      <c r="X726" s="27"/>
    </row>
    <row r="727" spans="19:24">
      <c r="S727" s="25"/>
      <c r="T727" s="25"/>
      <c r="U727" s="25"/>
      <c r="V727" s="26"/>
      <c r="W727" s="26"/>
      <c r="X727" s="27"/>
    </row>
    <row r="728" spans="19:24">
      <c r="S728" s="25"/>
      <c r="T728" s="25"/>
      <c r="U728" s="25"/>
      <c r="V728" s="26"/>
      <c r="W728" s="26"/>
      <c r="X728" s="27"/>
    </row>
    <row r="729" spans="19:24">
      <c r="S729" s="25"/>
      <c r="T729" s="25"/>
      <c r="U729" s="25"/>
      <c r="V729" s="26"/>
      <c r="W729" s="26"/>
      <c r="X729" s="27"/>
    </row>
    <row r="730" spans="19:24">
      <c r="S730" s="25"/>
      <c r="T730" s="25"/>
      <c r="U730" s="25"/>
      <c r="V730" s="26"/>
      <c r="W730" s="26"/>
      <c r="X730" s="27"/>
    </row>
    <row r="731" spans="19:24">
      <c r="S731" s="25"/>
      <c r="T731" s="25"/>
      <c r="U731" s="25"/>
      <c r="V731" s="26"/>
      <c r="W731" s="26"/>
      <c r="X731" s="27"/>
    </row>
    <row r="732" spans="19:24">
      <c r="S732" s="25"/>
      <c r="T732" s="25"/>
      <c r="U732" s="25"/>
      <c r="V732" s="26"/>
      <c r="W732" s="26"/>
      <c r="X732" s="27"/>
    </row>
    <row r="733" spans="19:24">
      <c r="S733" s="25"/>
      <c r="T733" s="25"/>
      <c r="U733" s="25"/>
      <c r="V733" s="26"/>
      <c r="W733" s="26"/>
      <c r="X733" s="27"/>
    </row>
    <row r="734" spans="19:24">
      <c r="S734" s="25"/>
      <c r="T734" s="25"/>
      <c r="U734" s="25"/>
      <c r="V734" s="26"/>
      <c r="W734" s="26"/>
      <c r="X734" s="27"/>
    </row>
    <row r="735" spans="19:24">
      <c r="S735" s="25"/>
      <c r="T735" s="25"/>
      <c r="U735" s="25"/>
      <c r="V735" s="26"/>
      <c r="W735" s="26"/>
      <c r="X735" s="27"/>
    </row>
    <row r="736" spans="19:24">
      <c r="S736" s="25"/>
      <c r="T736" s="25"/>
      <c r="U736" s="25"/>
      <c r="V736" s="26"/>
      <c r="W736" s="26"/>
      <c r="X736" s="27"/>
    </row>
    <row r="737" spans="19:24">
      <c r="S737" s="25"/>
      <c r="T737" s="25"/>
      <c r="U737" s="25"/>
      <c r="V737" s="26"/>
      <c r="W737" s="26"/>
      <c r="X737" s="27"/>
    </row>
    <row r="738" spans="19:24">
      <c r="S738" s="25"/>
      <c r="T738" s="25"/>
      <c r="U738" s="25"/>
      <c r="V738" s="26"/>
      <c r="W738" s="26"/>
      <c r="X738" s="27"/>
    </row>
    <row r="739" spans="19:24">
      <c r="S739" s="25"/>
      <c r="T739" s="25"/>
      <c r="U739" s="25"/>
      <c r="V739" s="26"/>
      <c r="W739" s="26"/>
      <c r="X739" s="27"/>
    </row>
    <row r="740" spans="19:24">
      <c r="S740" s="25"/>
      <c r="T740" s="25"/>
      <c r="U740" s="25"/>
      <c r="V740" s="26"/>
      <c r="W740" s="26"/>
      <c r="X740" s="27"/>
    </row>
    <row r="741" spans="19:24">
      <c r="S741" s="25"/>
      <c r="T741" s="25"/>
      <c r="U741" s="25"/>
      <c r="V741" s="26"/>
      <c r="W741" s="26"/>
      <c r="X741" s="27"/>
    </row>
    <row r="742" spans="19:24">
      <c r="S742" s="25"/>
      <c r="T742" s="25"/>
      <c r="U742" s="25"/>
      <c r="V742" s="26"/>
      <c r="W742" s="26"/>
      <c r="X742" s="27"/>
    </row>
    <row r="743" spans="19:24">
      <c r="S743" s="25"/>
      <c r="T743" s="25"/>
      <c r="U743" s="25"/>
      <c r="V743" s="26"/>
      <c r="W743" s="26"/>
      <c r="X743" s="27"/>
    </row>
    <row r="744" spans="19:24">
      <c r="S744" s="25"/>
      <c r="T744" s="25"/>
      <c r="U744" s="25"/>
      <c r="V744" s="26"/>
      <c r="W744" s="26"/>
      <c r="X744" s="27"/>
    </row>
    <row r="745" spans="19:24">
      <c r="S745" s="25"/>
      <c r="T745" s="25"/>
      <c r="U745" s="25"/>
      <c r="V745" s="26"/>
      <c r="W745" s="26"/>
      <c r="X745" s="27"/>
    </row>
    <row r="746" spans="19:24">
      <c r="S746" s="25"/>
      <c r="T746" s="25"/>
      <c r="U746" s="25"/>
      <c r="V746" s="26"/>
      <c r="W746" s="26"/>
      <c r="X746" s="27"/>
    </row>
    <row r="747" spans="19:24">
      <c r="S747" s="25"/>
      <c r="T747" s="25"/>
      <c r="U747" s="25"/>
      <c r="V747" s="26"/>
      <c r="W747" s="26"/>
      <c r="X747" s="27"/>
    </row>
    <row r="748" spans="19:24">
      <c r="S748" s="25"/>
      <c r="T748" s="25"/>
      <c r="U748" s="25"/>
      <c r="V748" s="26"/>
      <c r="W748" s="26"/>
      <c r="X748" s="27"/>
    </row>
    <row r="749" spans="19:24">
      <c r="S749" s="25"/>
      <c r="T749" s="25"/>
      <c r="U749" s="25"/>
      <c r="V749" s="26"/>
      <c r="W749" s="26"/>
      <c r="X749" s="27"/>
    </row>
    <row r="750" spans="19:24">
      <c r="S750" s="25"/>
      <c r="T750" s="25"/>
      <c r="U750" s="25"/>
      <c r="V750" s="26"/>
      <c r="W750" s="26"/>
      <c r="X750" s="27"/>
    </row>
    <row r="751" spans="19:24">
      <c r="S751" s="25"/>
      <c r="T751" s="25"/>
      <c r="U751" s="25"/>
      <c r="V751" s="26"/>
      <c r="W751" s="26"/>
      <c r="X751" s="27"/>
    </row>
    <row r="752" spans="19:24">
      <c r="S752" s="25"/>
      <c r="T752" s="25"/>
      <c r="U752" s="25"/>
      <c r="V752" s="26"/>
      <c r="W752" s="26"/>
      <c r="X752" s="27"/>
    </row>
    <row r="753" spans="19:24">
      <c r="S753" s="25"/>
      <c r="T753" s="25"/>
      <c r="U753" s="25"/>
      <c r="V753" s="26"/>
      <c r="W753" s="26"/>
      <c r="X753" s="27"/>
    </row>
    <row r="754" spans="19:24">
      <c r="S754" s="25"/>
      <c r="T754" s="25"/>
      <c r="U754" s="25"/>
      <c r="V754" s="26"/>
      <c r="W754" s="26"/>
      <c r="X754" s="27"/>
    </row>
    <row r="755" spans="19:24">
      <c r="S755" s="25"/>
      <c r="T755" s="25"/>
      <c r="U755" s="25"/>
      <c r="V755" s="26"/>
      <c r="W755" s="26"/>
      <c r="X755" s="27"/>
    </row>
    <row r="756" spans="19:24">
      <c r="S756" s="25"/>
      <c r="T756" s="25"/>
      <c r="U756" s="25"/>
      <c r="V756" s="26"/>
      <c r="W756" s="26"/>
      <c r="X756" s="27"/>
    </row>
    <row r="757" spans="19:24">
      <c r="S757" s="25"/>
      <c r="T757" s="25"/>
      <c r="U757" s="25"/>
      <c r="V757" s="26"/>
      <c r="W757" s="26"/>
      <c r="X757" s="27"/>
    </row>
    <row r="758" spans="19:24">
      <c r="S758" s="25"/>
      <c r="T758" s="25"/>
      <c r="U758" s="25"/>
      <c r="V758" s="26"/>
      <c r="W758" s="26"/>
      <c r="X758" s="27"/>
    </row>
    <row r="759" spans="19:24">
      <c r="S759" s="25"/>
      <c r="T759" s="25"/>
      <c r="U759" s="25"/>
      <c r="V759" s="26"/>
      <c r="W759" s="26"/>
      <c r="X759" s="27"/>
    </row>
    <row r="760" spans="19:24">
      <c r="S760" s="25"/>
      <c r="T760" s="25"/>
      <c r="U760" s="25"/>
      <c r="V760" s="26"/>
      <c r="W760" s="26"/>
      <c r="X760" s="27"/>
    </row>
    <row r="761" spans="19:24">
      <c r="S761" s="25"/>
      <c r="T761" s="25"/>
      <c r="U761" s="25"/>
      <c r="V761" s="26"/>
      <c r="W761" s="26"/>
      <c r="X761" s="27"/>
    </row>
    <row r="762" spans="19:24">
      <c r="S762" s="25"/>
      <c r="T762" s="25"/>
      <c r="U762" s="25"/>
      <c r="V762" s="26"/>
      <c r="W762" s="26"/>
      <c r="X762" s="27"/>
    </row>
    <row r="763" spans="19:24">
      <c r="S763" s="25"/>
      <c r="T763" s="25"/>
      <c r="U763" s="25"/>
      <c r="V763" s="26"/>
      <c r="W763" s="26"/>
      <c r="X763" s="27"/>
    </row>
    <row r="764" spans="19:24">
      <c r="S764" s="25"/>
      <c r="T764" s="25"/>
      <c r="U764" s="25"/>
      <c r="V764" s="26"/>
      <c r="W764" s="26"/>
      <c r="X764" s="27"/>
    </row>
    <row r="765" spans="19:24">
      <c r="S765" s="25"/>
      <c r="T765" s="25"/>
      <c r="U765" s="25"/>
      <c r="V765" s="26"/>
      <c r="W765" s="26"/>
      <c r="X765" s="27"/>
    </row>
    <row r="766" spans="19:24">
      <c r="S766" s="25"/>
      <c r="T766" s="25"/>
      <c r="U766" s="25"/>
      <c r="V766" s="26"/>
      <c r="W766" s="26"/>
      <c r="X766" s="27"/>
    </row>
    <row r="767" spans="19:24">
      <c r="S767" s="25"/>
      <c r="T767" s="25"/>
      <c r="U767" s="25"/>
      <c r="V767" s="26"/>
      <c r="W767" s="26"/>
      <c r="X767" s="27"/>
    </row>
    <row r="768" spans="19:24">
      <c r="S768" s="25"/>
      <c r="T768" s="25"/>
      <c r="U768" s="25"/>
      <c r="V768" s="26"/>
      <c r="W768" s="26"/>
      <c r="X768" s="27"/>
    </row>
    <row r="769" spans="19:24">
      <c r="S769" s="25"/>
      <c r="T769" s="25"/>
      <c r="U769" s="25"/>
      <c r="V769" s="26"/>
      <c r="W769" s="26"/>
      <c r="X769" s="27"/>
    </row>
    <row r="770" spans="19:24">
      <c r="S770" s="25"/>
      <c r="T770" s="25"/>
      <c r="U770" s="25"/>
      <c r="V770" s="26"/>
      <c r="W770" s="26"/>
      <c r="X770" s="27"/>
    </row>
    <row r="771" spans="19:24">
      <c r="S771" s="25"/>
      <c r="T771" s="25"/>
      <c r="U771" s="25"/>
      <c r="V771" s="26"/>
      <c r="W771" s="26"/>
      <c r="X771" s="27"/>
    </row>
    <row r="772" spans="19:24">
      <c r="S772" s="25"/>
      <c r="T772" s="25"/>
      <c r="U772" s="25"/>
      <c r="V772" s="26"/>
      <c r="W772" s="26"/>
      <c r="X772" s="27"/>
    </row>
    <row r="773" spans="19:24">
      <c r="S773" s="25"/>
      <c r="T773" s="25"/>
      <c r="U773" s="25"/>
      <c r="V773" s="26"/>
      <c r="W773" s="26"/>
      <c r="X773" s="27"/>
    </row>
    <row r="774" spans="19:24">
      <c r="S774" s="25"/>
      <c r="T774" s="25"/>
      <c r="U774" s="25"/>
      <c r="V774" s="26"/>
      <c r="W774" s="26"/>
      <c r="X774" s="27"/>
    </row>
    <row r="775" spans="19:24">
      <c r="S775" s="25"/>
      <c r="T775" s="25"/>
      <c r="U775" s="25"/>
      <c r="V775" s="26"/>
      <c r="W775" s="26"/>
      <c r="X775" s="27"/>
    </row>
    <row r="776" spans="19:24">
      <c r="S776" s="25"/>
      <c r="T776" s="25"/>
      <c r="U776" s="25"/>
      <c r="V776" s="26"/>
      <c r="W776" s="26"/>
      <c r="X776" s="27"/>
    </row>
    <row r="777" spans="19:24">
      <c r="S777" s="25"/>
      <c r="T777" s="25"/>
      <c r="U777" s="25"/>
      <c r="V777" s="26"/>
      <c r="W777" s="26"/>
      <c r="X777" s="27"/>
    </row>
    <row r="778" spans="19:24">
      <c r="S778" s="25"/>
      <c r="T778" s="25"/>
      <c r="U778" s="25"/>
      <c r="V778" s="26"/>
      <c r="W778" s="26"/>
      <c r="X778" s="27"/>
    </row>
    <row r="779" spans="19:24">
      <c r="S779" s="25"/>
      <c r="T779" s="25"/>
      <c r="U779" s="25"/>
      <c r="V779" s="26"/>
      <c r="W779" s="26"/>
      <c r="X779" s="27"/>
    </row>
    <row r="780" spans="19:24">
      <c r="S780" s="25"/>
      <c r="T780" s="25"/>
      <c r="U780" s="25"/>
      <c r="V780" s="26"/>
      <c r="W780" s="26"/>
      <c r="X780" s="27"/>
    </row>
    <row r="781" spans="19:24">
      <c r="S781" s="25"/>
      <c r="T781" s="25"/>
      <c r="U781" s="25"/>
      <c r="V781" s="26"/>
      <c r="W781" s="26"/>
      <c r="X781" s="27"/>
    </row>
    <row r="782" spans="19:24">
      <c r="S782" s="25"/>
      <c r="T782" s="25"/>
      <c r="U782" s="25"/>
      <c r="V782" s="26"/>
      <c r="W782" s="26"/>
      <c r="X782" s="27"/>
    </row>
    <row r="783" spans="19:24">
      <c r="S783" s="25"/>
      <c r="T783" s="25"/>
      <c r="U783" s="25"/>
      <c r="V783" s="26"/>
      <c r="W783" s="26"/>
      <c r="X783" s="27"/>
    </row>
    <row r="784" spans="19:24">
      <c r="S784" s="25"/>
      <c r="T784" s="25"/>
      <c r="U784" s="25"/>
      <c r="V784" s="26"/>
      <c r="W784" s="26"/>
      <c r="X784" s="27"/>
    </row>
    <row r="785" spans="19:24">
      <c r="S785" s="25"/>
      <c r="T785" s="25"/>
      <c r="U785" s="25"/>
      <c r="V785" s="26"/>
      <c r="W785" s="26"/>
      <c r="X785" s="27"/>
    </row>
    <row r="786" spans="19:24">
      <c r="S786" s="25"/>
      <c r="T786" s="25"/>
      <c r="U786" s="25"/>
      <c r="V786" s="26"/>
      <c r="W786" s="26"/>
      <c r="X786" s="27"/>
    </row>
    <row r="787" spans="19:24">
      <c r="S787" s="25"/>
      <c r="T787" s="25"/>
      <c r="U787" s="25"/>
      <c r="V787" s="26"/>
      <c r="W787" s="26"/>
      <c r="X787" s="27"/>
    </row>
    <row r="788" spans="19:24">
      <c r="S788" s="25"/>
      <c r="T788" s="25"/>
      <c r="U788" s="25"/>
      <c r="V788" s="26"/>
      <c r="W788" s="26"/>
      <c r="X788" s="27"/>
    </row>
    <row r="789" spans="19:24">
      <c r="S789" s="25"/>
      <c r="T789" s="25"/>
      <c r="U789" s="25"/>
      <c r="V789" s="26"/>
      <c r="W789" s="26"/>
      <c r="X789" s="27"/>
    </row>
    <row r="790" spans="19:24">
      <c r="S790" s="25"/>
      <c r="T790" s="25"/>
      <c r="U790" s="25"/>
      <c r="V790" s="26"/>
      <c r="W790" s="26"/>
      <c r="X790" s="27"/>
    </row>
    <row r="791" spans="19:24">
      <c r="S791" s="25"/>
      <c r="T791" s="25"/>
      <c r="U791" s="25"/>
      <c r="V791" s="26"/>
      <c r="W791" s="26"/>
      <c r="X791" s="27"/>
    </row>
    <row r="792" spans="19:24">
      <c r="S792" s="25"/>
      <c r="T792" s="25"/>
      <c r="U792" s="25"/>
      <c r="V792" s="26"/>
      <c r="W792" s="26"/>
      <c r="X792" s="27"/>
    </row>
    <row r="793" spans="19:24">
      <c r="S793" s="25"/>
      <c r="T793" s="25"/>
      <c r="U793" s="25"/>
      <c r="V793" s="26"/>
      <c r="W793" s="26"/>
      <c r="X793" s="27"/>
    </row>
    <row r="794" spans="19:24">
      <c r="S794" s="25"/>
      <c r="T794" s="25"/>
      <c r="U794" s="25"/>
      <c r="V794" s="26"/>
      <c r="W794" s="26"/>
      <c r="X794" s="27"/>
    </row>
    <row r="795" spans="19:24">
      <c r="S795" s="25"/>
      <c r="T795" s="25"/>
      <c r="U795" s="25"/>
      <c r="V795" s="26"/>
      <c r="W795" s="26"/>
      <c r="X795" s="27"/>
    </row>
    <row r="796" spans="19:24">
      <c r="S796" s="25"/>
      <c r="T796" s="25"/>
      <c r="U796" s="25"/>
      <c r="V796" s="26"/>
      <c r="W796" s="26"/>
      <c r="X796" s="27"/>
    </row>
    <row r="797" spans="19:24">
      <c r="S797" s="25"/>
      <c r="T797" s="25"/>
      <c r="U797" s="25"/>
      <c r="V797" s="26"/>
      <c r="W797" s="26"/>
      <c r="X797" s="27"/>
    </row>
    <row r="798" spans="19:24">
      <c r="S798" s="25"/>
      <c r="T798" s="25"/>
      <c r="U798" s="25"/>
      <c r="V798" s="26"/>
      <c r="W798" s="26"/>
      <c r="X798" s="27"/>
    </row>
    <row r="799" spans="19:24">
      <c r="S799" s="25"/>
      <c r="T799" s="25"/>
      <c r="U799" s="25"/>
      <c r="V799" s="26"/>
      <c r="W799" s="26"/>
      <c r="X799" s="27"/>
    </row>
    <row r="800" spans="19:24">
      <c r="S800" s="25"/>
      <c r="T800" s="25"/>
      <c r="U800" s="25"/>
      <c r="V800" s="26"/>
      <c r="W800" s="26"/>
      <c r="X800" s="27"/>
    </row>
    <row r="801" spans="19:24">
      <c r="S801" s="25"/>
      <c r="T801" s="25"/>
      <c r="U801" s="25"/>
      <c r="V801" s="26"/>
      <c r="W801" s="26"/>
      <c r="X801" s="27"/>
    </row>
    <row r="802" spans="19:24">
      <c r="S802" s="25"/>
      <c r="T802" s="25"/>
      <c r="U802" s="25"/>
      <c r="V802" s="26"/>
      <c r="W802" s="26"/>
      <c r="X802" s="27"/>
    </row>
    <row r="803" spans="19:24">
      <c r="S803" s="25"/>
      <c r="T803" s="25"/>
      <c r="U803" s="25"/>
      <c r="V803" s="26"/>
      <c r="W803" s="26"/>
      <c r="X803" s="27"/>
    </row>
    <row r="804" spans="19:24">
      <c r="S804" s="25"/>
      <c r="T804" s="25"/>
      <c r="U804" s="25"/>
      <c r="V804" s="26"/>
      <c r="W804" s="26"/>
      <c r="X804" s="27"/>
    </row>
    <row r="805" spans="19:24">
      <c r="S805" s="25"/>
      <c r="T805" s="25"/>
      <c r="U805" s="25"/>
      <c r="V805" s="26"/>
      <c r="W805" s="26"/>
      <c r="X805" s="27"/>
    </row>
    <row r="806" spans="19:24">
      <c r="S806" s="25"/>
      <c r="T806" s="25"/>
      <c r="U806" s="25"/>
      <c r="V806" s="26"/>
      <c r="W806" s="26"/>
      <c r="X806" s="27"/>
    </row>
    <row r="807" spans="19:24">
      <c r="S807" s="25"/>
      <c r="T807" s="25"/>
      <c r="U807" s="25"/>
      <c r="V807" s="26"/>
      <c r="W807" s="26"/>
      <c r="X807" s="27"/>
    </row>
    <row r="808" spans="19:24">
      <c r="S808" s="25"/>
      <c r="T808" s="25"/>
      <c r="U808" s="25"/>
      <c r="V808" s="26"/>
      <c r="W808" s="26"/>
      <c r="X808" s="27"/>
    </row>
    <row r="809" spans="19:24">
      <c r="S809" s="25"/>
      <c r="T809" s="25"/>
      <c r="U809" s="25"/>
      <c r="V809" s="26"/>
      <c r="W809" s="26"/>
      <c r="X809" s="27"/>
    </row>
    <row r="810" spans="19:24">
      <c r="S810" s="25"/>
      <c r="T810" s="25"/>
      <c r="U810" s="25"/>
      <c r="V810" s="26"/>
      <c r="W810" s="26"/>
      <c r="X810" s="27"/>
    </row>
    <row r="811" spans="19:24">
      <c r="S811" s="25"/>
      <c r="T811" s="25"/>
      <c r="U811" s="25"/>
      <c r="V811" s="26"/>
      <c r="W811" s="26"/>
      <c r="X811" s="27"/>
    </row>
    <row r="812" spans="19:24">
      <c r="S812" s="25"/>
      <c r="T812" s="25"/>
      <c r="U812" s="25"/>
      <c r="V812" s="26"/>
      <c r="W812" s="26"/>
      <c r="X812" s="27"/>
    </row>
    <row r="813" spans="19:24">
      <c r="S813" s="25"/>
      <c r="T813" s="25"/>
      <c r="U813" s="25"/>
      <c r="V813" s="26"/>
      <c r="W813" s="26"/>
      <c r="X813" s="27"/>
    </row>
    <row r="814" spans="19:24">
      <c r="S814" s="25"/>
      <c r="T814" s="25"/>
      <c r="U814" s="25"/>
      <c r="V814" s="26"/>
      <c r="W814" s="26"/>
      <c r="X814" s="27"/>
    </row>
    <row r="815" spans="19:24">
      <c r="S815" s="25"/>
      <c r="T815" s="25"/>
      <c r="U815" s="25"/>
      <c r="V815" s="26"/>
      <c r="W815" s="26"/>
      <c r="X815" s="27"/>
    </row>
    <row r="816" spans="19:24">
      <c r="S816" s="25"/>
      <c r="T816" s="25"/>
      <c r="U816" s="25"/>
      <c r="V816" s="26"/>
      <c r="W816" s="26"/>
      <c r="X816" s="27"/>
    </row>
    <row r="817" spans="19:24">
      <c r="S817" s="25"/>
      <c r="T817" s="25"/>
      <c r="U817" s="25"/>
      <c r="V817" s="26"/>
      <c r="W817" s="26"/>
      <c r="X817" s="27"/>
    </row>
    <row r="818" spans="19:24">
      <c r="S818" s="25"/>
      <c r="T818" s="25"/>
      <c r="U818" s="25"/>
      <c r="V818" s="26"/>
      <c r="W818" s="26"/>
      <c r="X818" s="27"/>
    </row>
    <row r="819" spans="19:24">
      <c r="S819" s="25"/>
      <c r="T819" s="25"/>
      <c r="U819" s="25"/>
      <c r="V819" s="26"/>
      <c r="W819" s="26"/>
      <c r="X819" s="27"/>
    </row>
    <row r="820" spans="19:24">
      <c r="S820" s="25"/>
      <c r="T820" s="25"/>
      <c r="U820" s="25"/>
      <c r="V820" s="26"/>
      <c r="W820" s="26"/>
      <c r="X820" s="27"/>
    </row>
    <row r="821" spans="19:24">
      <c r="S821" s="25"/>
      <c r="T821" s="25"/>
      <c r="U821" s="25"/>
      <c r="V821" s="26"/>
      <c r="W821" s="26"/>
      <c r="X821" s="27"/>
    </row>
    <row r="822" spans="19:24">
      <c r="S822" s="25"/>
      <c r="T822" s="25"/>
      <c r="U822" s="25"/>
      <c r="V822" s="26"/>
      <c r="W822" s="26"/>
      <c r="X822" s="27"/>
    </row>
    <row r="823" spans="19:24">
      <c r="S823" s="25"/>
      <c r="T823" s="25"/>
      <c r="U823" s="25"/>
      <c r="V823" s="26"/>
      <c r="W823" s="26"/>
      <c r="X823" s="27"/>
    </row>
    <row r="824" spans="19:24">
      <c r="S824" s="25"/>
      <c r="T824" s="25"/>
      <c r="U824" s="25"/>
      <c r="V824" s="26"/>
      <c r="W824" s="26"/>
      <c r="X824" s="27"/>
    </row>
    <row r="825" spans="19:24">
      <c r="S825" s="25"/>
      <c r="T825" s="25"/>
      <c r="U825" s="25"/>
      <c r="V825" s="26"/>
      <c r="W825" s="26"/>
      <c r="X825" s="27"/>
    </row>
    <row r="826" spans="19:24">
      <c r="S826" s="25"/>
      <c r="T826" s="25"/>
      <c r="U826" s="25"/>
      <c r="V826" s="26"/>
      <c r="W826" s="26"/>
      <c r="X826" s="27"/>
    </row>
    <row r="827" spans="19:24">
      <c r="S827" s="25"/>
      <c r="T827" s="25"/>
      <c r="U827" s="25"/>
      <c r="V827" s="26"/>
      <c r="W827" s="26"/>
      <c r="X827" s="27"/>
    </row>
    <row r="828" spans="19:24">
      <c r="S828" s="25"/>
      <c r="T828" s="25"/>
      <c r="U828" s="25"/>
      <c r="V828" s="26"/>
      <c r="W828" s="26"/>
      <c r="X828" s="27"/>
    </row>
    <row r="829" spans="19:24">
      <c r="S829" s="25"/>
      <c r="T829" s="25"/>
      <c r="U829" s="25"/>
      <c r="V829" s="26"/>
      <c r="W829" s="26"/>
      <c r="X829" s="27"/>
    </row>
    <row r="830" spans="19:24">
      <c r="S830" s="25"/>
      <c r="T830" s="25"/>
      <c r="U830" s="25"/>
      <c r="V830" s="26"/>
      <c r="W830" s="26"/>
      <c r="X830" s="27"/>
    </row>
    <row r="831" spans="19:24">
      <c r="S831" s="25"/>
      <c r="T831" s="25"/>
      <c r="U831" s="25"/>
      <c r="V831" s="26"/>
      <c r="W831" s="26"/>
      <c r="X831" s="27"/>
    </row>
    <row r="832" spans="19:24">
      <c r="S832" s="25"/>
      <c r="T832" s="25"/>
      <c r="U832" s="25"/>
      <c r="V832" s="26"/>
      <c r="W832" s="26"/>
      <c r="X832" s="27"/>
    </row>
    <row r="833" spans="19:24">
      <c r="S833" s="25"/>
      <c r="T833" s="25"/>
      <c r="U833" s="25"/>
      <c r="V833" s="26"/>
      <c r="W833" s="26"/>
      <c r="X833" s="27"/>
    </row>
    <row r="834" spans="19:24">
      <c r="S834" s="25"/>
      <c r="T834" s="25"/>
      <c r="U834" s="25"/>
      <c r="V834" s="26"/>
      <c r="W834" s="26"/>
      <c r="X834" s="27"/>
    </row>
    <row r="835" spans="19:24">
      <c r="S835" s="25"/>
      <c r="T835" s="25"/>
      <c r="U835" s="25"/>
      <c r="V835" s="26"/>
      <c r="W835" s="26"/>
      <c r="X835" s="27"/>
    </row>
    <row r="836" spans="19:24">
      <c r="S836" s="25"/>
      <c r="T836" s="25"/>
      <c r="U836" s="25"/>
      <c r="V836" s="26"/>
      <c r="W836" s="26"/>
      <c r="X836" s="27"/>
    </row>
    <row r="837" spans="19:24">
      <c r="S837" s="25"/>
      <c r="T837" s="25"/>
      <c r="U837" s="25"/>
      <c r="V837" s="26"/>
      <c r="W837" s="26"/>
      <c r="X837" s="27"/>
    </row>
    <row r="838" spans="19:24">
      <c r="S838" s="25"/>
      <c r="T838" s="25"/>
      <c r="U838" s="25"/>
      <c r="V838" s="26"/>
      <c r="W838" s="26"/>
      <c r="X838" s="27"/>
    </row>
    <row r="839" spans="19:24">
      <c r="S839" s="25"/>
      <c r="T839" s="25"/>
      <c r="U839" s="25"/>
      <c r="V839" s="26"/>
      <c r="W839" s="26"/>
      <c r="X839" s="27"/>
    </row>
    <row r="840" spans="19:24">
      <c r="S840" s="25"/>
      <c r="T840" s="25"/>
      <c r="U840" s="25"/>
      <c r="V840" s="26"/>
      <c r="W840" s="26"/>
      <c r="X840" s="27"/>
    </row>
    <row r="841" spans="19:24">
      <c r="S841" s="25"/>
      <c r="T841" s="25"/>
      <c r="U841" s="25"/>
      <c r="V841" s="26"/>
      <c r="W841" s="26"/>
      <c r="X841" s="27"/>
    </row>
    <row r="842" spans="19:24">
      <c r="S842" s="25"/>
      <c r="T842" s="25"/>
      <c r="U842" s="25"/>
      <c r="V842" s="26"/>
      <c r="W842" s="26"/>
      <c r="X842" s="27"/>
    </row>
    <row r="843" spans="19:24">
      <c r="S843" s="25"/>
      <c r="T843" s="25"/>
      <c r="U843" s="25"/>
      <c r="V843" s="26"/>
      <c r="W843" s="26"/>
      <c r="X843" s="27"/>
    </row>
    <row r="844" spans="19:24">
      <c r="S844" s="25"/>
      <c r="T844" s="25"/>
      <c r="U844" s="25"/>
      <c r="V844" s="26"/>
      <c r="W844" s="26"/>
      <c r="X844" s="27"/>
    </row>
    <row r="845" spans="19:24">
      <c r="S845" s="25"/>
      <c r="T845" s="25"/>
      <c r="U845" s="25"/>
      <c r="V845" s="26"/>
      <c r="W845" s="26"/>
      <c r="X845" s="27"/>
    </row>
    <row r="846" spans="19:24">
      <c r="S846" s="25"/>
      <c r="T846" s="25"/>
      <c r="U846" s="25"/>
      <c r="V846" s="26"/>
      <c r="W846" s="26"/>
      <c r="X846" s="27"/>
    </row>
    <row r="847" spans="19:24">
      <c r="S847" s="25"/>
      <c r="T847" s="25"/>
      <c r="U847" s="25"/>
      <c r="V847" s="26"/>
      <c r="W847" s="26"/>
      <c r="X847" s="27"/>
    </row>
    <row r="848" spans="19:24">
      <c r="S848" s="25"/>
      <c r="T848" s="25"/>
      <c r="U848" s="25"/>
      <c r="V848" s="26"/>
      <c r="W848" s="26"/>
      <c r="X848" s="27"/>
    </row>
    <row r="849" spans="19:24">
      <c r="S849" s="25"/>
      <c r="T849" s="25"/>
      <c r="U849" s="25"/>
      <c r="V849" s="26"/>
      <c r="W849" s="26"/>
      <c r="X849" s="27"/>
    </row>
    <row r="850" spans="19:24">
      <c r="S850" s="25"/>
      <c r="T850" s="25"/>
      <c r="U850" s="25"/>
      <c r="V850" s="26"/>
      <c r="W850" s="26"/>
      <c r="X850" s="27"/>
    </row>
    <row r="851" spans="19:24">
      <c r="S851" s="25"/>
      <c r="T851" s="25"/>
      <c r="U851" s="25"/>
      <c r="V851" s="26"/>
      <c r="W851" s="26"/>
      <c r="X851" s="27"/>
    </row>
    <row r="852" spans="19:24">
      <c r="S852" s="25"/>
      <c r="T852" s="25"/>
      <c r="U852" s="25"/>
      <c r="V852" s="26"/>
      <c r="W852" s="26"/>
      <c r="X852" s="27"/>
    </row>
    <row r="853" spans="19:24">
      <c r="S853" s="25"/>
      <c r="T853" s="25"/>
      <c r="U853" s="25"/>
      <c r="V853" s="26"/>
      <c r="W853" s="26"/>
      <c r="X853" s="27"/>
    </row>
    <row r="854" spans="19:24">
      <c r="S854" s="25"/>
      <c r="T854" s="25"/>
      <c r="U854" s="25"/>
      <c r="V854" s="26"/>
      <c r="W854" s="26"/>
      <c r="X854" s="27"/>
    </row>
    <row r="855" spans="19:24">
      <c r="S855" s="25"/>
      <c r="T855" s="25"/>
      <c r="U855" s="25"/>
      <c r="V855" s="26"/>
      <c r="W855" s="26"/>
      <c r="X855" s="27"/>
    </row>
    <row r="856" spans="19:24">
      <c r="S856" s="25"/>
      <c r="T856" s="25"/>
      <c r="U856" s="25"/>
      <c r="V856" s="26"/>
      <c r="W856" s="26"/>
      <c r="X856" s="27"/>
    </row>
    <row r="857" spans="19:24">
      <c r="S857" s="25"/>
      <c r="T857" s="25"/>
      <c r="U857" s="25"/>
      <c r="V857" s="26"/>
      <c r="W857" s="26"/>
      <c r="X857" s="27"/>
    </row>
    <row r="858" spans="19:24">
      <c r="S858" s="25"/>
      <c r="T858" s="25"/>
      <c r="U858" s="25"/>
      <c r="V858" s="26"/>
      <c r="W858" s="26"/>
      <c r="X858" s="27"/>
    </row>
    <row r="859" spans="19:24">
      <c r="S859" s="25"/>
      <c r="T859" s="25"/>
      <c r="U859" s="25"/>
      <c r="V859" s="26"/>
      <c r="W859" s="26"/>
      <c r="X859" s="27"/>
    </row>
    <row r="860" spans="19:24">
      <c r="S860" s="25"/>
      <c r="T860" s="25"/>
      <c r="U860" s="25"/>
      <c r="V860" s="26"/>
      <c r="W860" s="26"/>
      <c r="X860" s="27"/>
    </row>
    <row r="861" spans="19:24">
      <c r="S861" s="25"/>
      <c r="T861" s="25"/>
      <c r="U861" s="25"/>
      <c r="V861" s="26"/>
      <c r="W861" s="26"/>
      <c r="X861" s="27"/>
    </row>
    <row r="862" spans="19:24">
      <c r="S862" s="25"/>
      <c r="T862" s="25"/>
      <c r="U862" s="25"/>
      <c r="V862" s="26"/>
      <c r="W862" s="26"/>
      <c r="X862" s="27"/>
    </row>
    <row r="863" spans="19:24">
      <c r="S863" s="25"/>
      <c r="T863" s="25"/>
      <c r="U863" s="25"/>
      <c r="V863" s="26"/>
      <c r="W863" s="26"/>
      <c r="X863" s="27"/>
    </row>
    <row r="864" spans="19:24">
      <c r="S864" s="25"/>
      <c r="T864" s="25"/>
      <c r="U864" s="25"/>
      <c r="V864" s="26"/>
      <c r="W864" s="26"/>
      <c r="X864" s="27"/>
    </row>
    <row r="865" spans="19:24">
      <c r="S865" s="25"/>
      <c r="T865" s="25"/>
      <c r="U865" s="25"/>
      <c r="V865" s="26"/>
      <c r="W865" s="26"/>
      <c r="X865" s="27"/>
    </row>
    <row r="866" spans="19:24">
      <c r="S866" s="25"/>
      <c r="T866" s="25"/>
      <c r="U866" s="25"/>
      <c r="V866" s="26"/>
      <c r="W866" s="26"/>
      <c r="X866" s="27"/>
    </row>
    <row r="867" spans="19:24">
      <c r="S867" s="25"/>
      <c r="T867" s="25"/>
      <c r="U867" s="25"/>
      <c r="V867" s="26"/>
      <c r="W867" s="26"/>
      <c r="X867" s="27"/>
    </row>
    <row r="868" spans="19:24">
      <c r="S868" s="25"/>
      <c r="T868" s="25"/>
      <c r="U868" s="25"/>
      <c r="V868" s="26"/>
      <c r="W868" s="26"/>
      <c r="X868" s="27"/>
    </row>
    <row r="869" spans="19:24">
      <c r="S869" s="25"/>
      <c r="T869" s="25"/>
      <c r="U869" s="25"/>
      <c r="V869" s="26"/>
      <c r="W869" s="26"/>
      <c r="X869" s="27"/>
    </row>
    <row r="870" spans="19:24">
      <c r="S870" s="25"/>
      <c r="T870" s="25"/>
      <c r="U870" s="25"/>
      <c r="V870" s="26"/>
      <c r="W870" s="26"/>
      <c r="X870" s="27"/>
    </row>
    <row r="871" spans="19:24">
      <c r="S871" s="25"/>
      <c r="T871" s="25"/>
      <c r="U871" s="25"/>
      <c r="V871" s="26"/>
      <c r="W871" s="26"/>
      <c r="X871" s="27"/>
    </row>
    <row r="872" spans="19:24">
      <c r="S872" s="25"/>
      <c r="T872" s="25"/>
      <c r="U872" s="25"/>
      <c r="V872" s="26"/>
      <c r="W872" s="26"/>
      <c r="X872" s="27"/>
    </row>
    <row r="873" spans="19:24">
      <c r="S873" s="25"/>
      <c r="T873" s="25"/>
      <c r="U873" s="25"/>
      <c r="V873" s="26"/>
      <c r="W873" s="26"/>
      <c r="X873" s="27"/>
    </row>
    <row r="874" spans="19:24">
      <c r="S874" s="25"/>
      <c r="T874" s="25"/>
      <c r="U874" s="25"/>
      <c r="V874" s="26"/>
      <c r="W874" s="26"/>
      <c r="X874" s="27"/>
    </row>
    <row r="875" spans="19:24">
      <c r="S875" s="25"/>
      <c r="T875" s="25"/>
      <c r="U875" s="25"/>
      <c r="V875" s="26"/>
      <c r="W875" s="26"/>
      <c r="X875" s="27"/>
    </row>
    <row r="876" spans="19:24">
      <c r="S876" s="25"/>
      <c r="T876" s="25"/>
      <c r="U876" s="25"/>
      <c r="V876" s="26"/>
      <c r="W876" s="26"/>
      <c r="X876" s="27"/>
    </row>
    <row r="877" spans="19:24">
      <c r="S877" s="25"/>
      <c r="T877" s="25"/>
      <c r="U877" s="25"/>
      <c r="V877" s="26"/>
      <c r="W877" s="26"/>
      <c r="X877" s="27"/>
    </row>
    <row r="878" spans="19:24">
      <c r="S878" s="25"/>
      <c r="T878" s="25"/>
      <c r="U878" s="25"/>
      <c r="V878" s="26"/>
      <c r="W878" s="26"/>
      <c r="X878" s="27"/>
    </row>
    <row r="879" spans="19:24">
      <c r="S879" s="25"/>
      <c r="T879" s="25"/>
      <c r="U879" s="25"/>
      <c r="V879" s="26"/>
      <c r="W879" s="26"/>
      <c r="X879" s="27"/>
    </row>
    <row r="880" spans="19:24">
      <c r="S880" s="25"/>
      <c r="T880" s="25"/>
      <c r="U880" s="25"/>
      <c r="V880" s="26"/>
      <c r="W880" s="26"/>
      <c r="X880" s="27"/>
    </row>
    <row r="881" spans="19:24">
      <c r="S881" s="25"/>
      <c r="T881" s="25"/>
      <c r="U881" s="25"/>
      <c r="V881" s="26"/>
      <c r="W881" s="26"/>
      <c r="X881" s="27"/>
    </row>
    <row r="882" spans="19:24">
      <c r="S882" s="25"/>
      <c r="T882" s="25"/>
      <c r="U882" s="25"/>
      <c r="V882" s="26"/>
      <c r="W882" s="26"/>
      <c r="X882" s="27"/>
    </row>
    <row r="883" spans="19:24">
      <c r="S883" s="25"/>
      <c r="T883" s="25"/>
      <c r="U883" s="25"/>
      <c r="V883" s="26"/>
      <c r="W883" s="26"/>
      <c r="X883" s="27"/>
    </row>
    <row r="884" spans="19:24">
      <c r="S884" s="25"/>
      <c r="T884" s="25"/>
      <c r="U884" s="25"/>
      <c r="V884" s="26"/>
      <c r="W884" s="26"/>
      <c r="X884" s="27"/>
    </row>
    <row r="885" spans="19:24">
      <c r="S885" s="25"/>
      <c r="T885" s="25"/>
      <c r="U885" s="25"/>
      <c r="V885" s="26"/>
      <c r="W885" s="26"/>
      <c r="X885" s="27"/>
    </row>
    <row r="886" spans="19:24">
      <c r="S886" s="25"/>
      <c r="T886" s="25"/>
      <c r="U886" s="25"/>
      <c r="V886" s="26"/>
      <c r="W886" s="26"/>
      <c r="X886" s="27"/>
    </row>
    <row r="887" spans="19:24">
      <c r="S887" s="25"/>
      <c r="T887" s="25"/>
      <c r="U887" s="25"/>
      <c r="V887" s="26"/>
      <c r="W887" s="26"/>
      <c r="X887" s="27"/>
    </row>
    <row r="888" spans="19:24">
      <c r="S888" s="25"/>
      <c r="T888" s="25"/>
      <c r="U888" s="25"/>
      <c r="V888" s="26"/>
      <c r="W888" s="26"/>
      <c r="X888" s="27"/>
    </row>
    <row r="889" spans="19:24">
      <c r="S889" s="25"/>
      <c r="T889" s="25"/>
      <c r="U889" s="25"/>
      <c r="V889" s="26"/>
      <c r="W889" s="26"/>
      <c r="X889" s="27"/>
    </row>
    <row r="890" spans="19:24">
      <c r="S890" s="25"/>
      <c r="T890" s="25"/>
      <c r="U890" s="25"/>
      <c r="V890" s="26"/>
      <c r="W890" s="26"/>
      <c r="X890" s="27"/>
    </row>
    <row r="891" spans="19:24">
      <c r="S891" s="25"/>
      <c r="T891" s="25"/>
      <c r="U891" s="25"/>
      <c r="V891" s="26"/>
      <c r="W891" s="26"/>
      <c r="X891" s="27"/>
    </row>
    <row r="892" spans="19:24">
      <c r="S892" s="25"/>
      <c r="T892" s="25"/>
      <c r="U892" s="25"/>
      <c r="V892" s="26"/>
      <c r="W892" s="26"/>
      <c r="X892" s="27"/>
    </row>
    <row r="893" spans="19:24">
      <c r="S893" s="25"/>
      <c r="T893" s="25"/>
      <c r="U893" s="25"/>
      <c r="V893" s="26"/>
      <c r="W893" s="26"/>
      <c r="X893" s="27"/>
    </row>
    <row r="894" spans="19:24">
      <c r="S894" s="25"/>
      <c r="T894" s="25"/>
      <c r="U894" s="25"/>
      <c r="V894" s="26"/>
      <c r="W894" s="26"/>
      <c r="X894" s="27"/>
    </row>
    <row r="895" spans="19:24">
      <c r="S895" s="25"/>
      <c r="T895" s="25"/>
      <c r="U895" s="25"/>
      <c r="V895" s="26"/>
      <c r="W895" s="26"/>
      <c r="X895" s="27"/>
    </row>
    <row r="896" spans="19:24">
      <c r="S896" s="25"/>
      <c r="T896" s="25"/>
      <c r="U896" s="25"/>
      <c r="V896" s="26"/>
      <c r="W896" s="26"/>
      <c r="X896" s="27"/>
    </row>
    <row r="897" spans="19:24">
      <c r="S897" s="25"/>
      <c r="T897" s="25"/>
      <c r="U897" s="25"/>
      <c r="V897" s="26"/>
      <c r="W897" s="26"/>
      <c r="X897" s="27"/>
    </row>
    <row r="898" spans="19:24">
      <c r="S898" s="25"/>
      <c r="T898" s="25"/>
      <c r="U898" s="25"/>
      <c r="V898" s="26"/>
      <c r="W898" s="26"/>
      <c r="X898" s="27"/>
    </row>
    <row r="899" spans="19:24">
      <c r="S899" s="25"/>
      <c r="T899" s="25"/>
      <c r="U899" s="25"/>
      <c r="V899" s="26"/>
      <c r="W899" s="26"/>
      <c r="X899" s="27"/>
    </row>
    <row r="900" spans="19:24">
      <c r="S900" s="25"/>
      <c r="T900" s="25"/>
      <c r="U900" s="25"/>
      <c r="V900" s="26"/>
      <c r="W900" s="26"/>
      <c r="X900" s="27"/>
    </row>
    <row r="901" spans="19:24">
      <c r="S901" s="25"/>
      <c r="T901" s="25"/>
      <c r="U901" s="25"/>
      <c r="V901" s="26"/>
      <c r="W901" s="26"/>
      <c r="X901" s="27"/>
    </row>
    <row r="902" spans="19:24">
      <c r="S902" s="25"/>
      <c r="T902" s="25"/>
      <c r="U902" s="25"/>
      <c r="V902" s="26"/>
      <c r="W902" s="26"/>
      <c r="X902" s="27"/>
    </row>
    <row r="903" spans="19:24">
      <c r="S903" s="25"/>
      <c r="T903" s="25"/>
      <c r="U903" s="25"/>
      <c r="V903" s="26"/>
      <c r="W903" s="26"/>
      <c r="X903" s="27"/>
    </row>
    <row r="904" spans="19:24">
      <c r="S904" s="25"/>
      <c r="T904" s="25"/>
      <c r="U904" s="25"/>
      <c r="V904" s="26"/>
      <c r="W904" s="26"/>
      <c r="X904" s="27"/>
    </row>
    <row r="905" spans="19:24">
      <c r="S905" s="25"/>
      <c r="T905" s="25"/>
      <c r="U905" s="25"/>
      <c r="V905" s="26"/>
      <c r="W905" s="26"/>
      <c r="X905" s="27"/>
    </row>
    <row r="906" spans="19:24">
      <c r="S906" s="25"/>
      <c r="T906" s="25"/>
      <c r="U906" s="25"/>
      <c r="V906" s="26"/>
      <c r="W906" s="26"/>
      <c r="X906" s="27"/>
    </row>
    <row r="907" spans="19:24">
      <c r="S907" s="25"/>
      <c r="T907" s="25"/>
      <c r="U907" s="25"/>
      <c r="V907" s="26"/>
      <c r="W907" s="26"/>
      <c r="X907" s="27"/>
    </row>
    <row r="908" spans="19:24">
      <c r="S908" s="25"/>
      <c r="T908" s="25"/>
      <c r="U908" s="25"/>
      <c r="V908" s="26"/>
      <c r="W908" s="26"/>
      <c r="X908" s="27"/>
    </row>
    <row r="909" spans="19:24">
      <c r="S909" s="25"/>
      <c r="T909" s="25"/>
      <c r="U909" s="25"/>
      <c r="V909" s="26"/>
      <c r="W909" s="26"/>
      <c r="X909" s="27"/>
    </row>
    <row r="910" spans="19:24">
      <c r="S910" s="25"/>
      <c r="T910" s="25"/>
      <c r="U910" s="25"/>
      <c r="V910" s="26"/>
      <c r="W910" s="26"/>
      <c r="X910" s="27"/>
    </row>
    <row r="911" spans="19:24">
      <c r="S911" s="25"/>
      <c r="T911" s="25"/>
      <c r="U911" s="25"/>
      <c r="V911" s="26"/>
      <c r="W911" s="26"/>
      <c r="X911" s="27"/>
    </row>
    <row r="912" spans="19:24">
      <c r="S912" s="25"/>
      <c r="T912" s="25"/>
      <c r="U912" s="25"/>
      <c r="V912" s="26"/>
      <c r="W912" s="26"/>
      <c r="X912" s="27"/>
    </row>
    <row r="913" spans="19:24">
      <c r="S913" s="25"/>
      <c r="T913" s="25"/>
      <c r="U913" s="25"/>
      <c r="V913" s="26"/>
      <c r="W913" s="26"/>
      <c r="X913" s="27"/>
    </row>
    <row r="914" spans="19:24">
      <c r="S914" s="25"/>
      <c r="T914" s="25"/>
      <c r="U914" s="25"/>
      <c r="V914" s="26"/>
      <c r="W914" s="26"/>
      <c r="X914" s="27"/>
    </row>
    <row r="915" spans="19:24">
      <c r="S915" s="25"/>
      <c r="T915" s="25"/>
      <c r="U915" s="25"/>
      <c r="V915" s="26"/>
      <c r="W915" s="26"/>
      <c r="X915" s="27"/>
    </row>
    <row r="916" spans="19:24">
      <c r="S916" s="25"/>
      <c r="T916" s="25"/>
      <c r="U916" s="25"/>
      <c r="V916" s="26"/>
      <c r="W916" s="26"/>
      <c r="X916" s="27"/>
    </row>
    <row r="917" spans="19:24">
      <c r="S917" s="25"/>
      <c r="T917" s="25"/>
      <c r="U917" s="25"/>
      <c r="V917" s="26"/>
      <c r="W917" s="26"/>
      <c r="X917" s="27"/>
    </row>
    <row r="918" spans="19:24">
      <c r="S918" s="25"/>
      <c r="T918" s="25"/>
      <c r="U918" s="25"/>
      <c r="V918" s="26"/>
      <c r="W918" s="26"/>
      <c r="X918" s="27"/>
    </row>
    <row r="919" spans="19:24">
      <c r="S919" s="25"/>
      <c r="T919" s="25"/>
      <c r="U919" s="25"/>
      <c r="V919" s="26"/>
      <c r="W919" s="26"/>
      <c r="X919" s="27"/>
    </row>
    <row r="920" spans="19:24">
      <c r="S920" s="25"/>
      <c r="T920" s="25"/>
      <c r="U920" s="25"/>
      <c r="V920" s="26"/>
      <c r="W920" s="26"/>
      <c r="X920" s="27"/>
    </row>
    <row r="921" spans="19:24">
      <c r="S921" s="25"/>
      <c r="T921" s="25"/>
      <c r="U921" s="25"/>
      <c r="V921" s="26"/>
      <c r="W921" s="26"/>
      <c r="X921" s="27"/>
    </row>
    <row r="922" spans="19:24">
      <c r="S922" s="25"/>
      <c r="T922" s="25"/>
      <c r="U922" s="25"/>
      <c r="V922" s="26"/>
      <c r="W922" s="26"/>
      <c r="X922" s="27"/>
    </row>
    <row r="923" spans="19:24">
      <c r="S923" s="25"/>
      <c r="T923" s="25"/>
      <c r="U923" s="25"/>
      <c r="V923" s="26"/>
      <c r="W923" s="26"/>
      <c r="X923" s="27"/>
    </row>
    <row r="924" spans="19:24">
      <c r="S924" s="25"/>
      <c r="T924" s="25"/>
      <c r="U924" s="25"/>
      <c r="V924" s="26"/>
      <c r="W924" s="26"/>
      <c r="X924" s="27"/>
    </row>
    <row r="925" spans="19:24">
      <c r="S925" s="25"/>
      <c r="T925" s="25"/>
      <c r="U925" s="25"/>
      <c r="V925" s="26"/>
      <c r="W925" s="26"/>
      <c r="X925" s="27"/>
    </row>
    <row r="926" spans="19:24">
      <c r="S926" s="25"/>
      <c r="T926" s="25"/>
      <c r="U926" s="25"/>
      <c r="V926" s="26"/>
      <c r="W926" s="26"/>
      <c r="X926" s="27"/>
    </row>
    <row r="927" spans="19:24">
      <c r="S927" s="25"/>
      <c r="T927" s="25"/>
      <c r="U927" s="25"/>
      <c r="V927" s="26"/>
      <c r="W927" s="26"/>
      <c r="X927" s="27"/>
    </row>
    <row r="928" spans="19:24">
      <c r="S928" s="25"/>
      <c r="T928" s="25"/>
      <c r="U928" s="25"/>
      <c r="V928" s="26"/>
      <c r="W928" s="26"/>
      <c r="X928" s="27"/>
    </row>
    <row r="929" spans="19:24">
      <c r="S929" s="25"/>
      <c r="T929" s="25"/>
      <c r="U929" s="25"/>
      <c r="V929" s="26"/>
      <c r="W929" s="26"/>
      <c r="X929" s="27"/>
    </row>
    <row r="930" spans="19:24">
      <c r="S930" s="25"/>
      <c r="T930" s="25"/>
      <c r="U930" s="25"/>
      <c r="V930" s="26"/>
      <c r="W930" s="26"/>
      <c r="X930" s="27"/>
    </row>
    <row r="931" spans="19:24">
      <c r="S931" s="25"/>
      <c r="T931" s="25"/>
      <c r="U931" s="25"/>
      <c r="V931" s="26"/>
      <c r="W931" s="26"/>
      <c r="X931" s="27"/>
    </row>
    <row r="932" spans="19:24">
      <c r="S932" s="25"/>
      <c r="T932" s="25"/>
      <c r="U932" s="25"/>
      <c r="V932" s="26"/>
      <c r="W932" s="26"/>
      <c r="X932" s="27"/>
    </row>
    <row r="933" spans="19:24">
      <c r="S933" s="25"/>
      <c r="T933" s="25"/>
      <c r="U933" s="25"/>
      <c r="V933" s="26"/>
      <c r="W933" s="26"/>
      <c r="X933" s="27"/>
    </row>
    <row r="934" spans="19:24">
      <c r="S934" s="25"/>
      <c r="T934" s="25"/>
      <c r="U934" s="25"/>
      <c r="V934" s="26"/>
      <c r="W934" s="26"/>
      <c r="X934" s="27"/>
    </row>
    <row r="935" spans="19:24">
      <c r="S935" s="25"/>
      <c r="T935" s="25"/>
      <c r="U935" s="25"/>
      <c r="V935" s="26"/>
      <c r="W935" s="26"/>
      <c r="X935" s="27"/>
    </row>
    <row r="936" spans="19:24">
      <c r="S936" s="25"/>
      <c r="T936" s="25"/>
      <c r="U936" s="25"/>
      <c r="V936" s="26"/>
      <c r="W936" s="26"/>
      <c r="X936" s="27"/>
    </row>
    <row r="937" spans="19:24">
      <c r="S937" s="25"/>
      <c r="T937" s="25"/>
      <c r="U937" s="25"/>
      <c r="V937" s="26"/>
      <c r="W937" s="26"/>
      <c r="X937" s="27"/>
    </row>
    <row r="938" spans="19:24">
      <c r="S938" s="25"/>
      <c r="T938" s="25"/>
      <c r="U938" s="25"/>
      <c r="V938" s="26"/>
      <c r="W938" s="26"/>
      <c r="X938" s="27"/>
    </row>
    <row r="939" spans="19:24">
      <c r="S939" s="25"/>
      <c r="T939" s="25"/>
      <c r="U939" s="25"/>
      <c r="V939" s="26"/>
      <c r="W939" s="26"/>
      <c r="X939" s="27"/>
    </row>
    <row r="940" spans="19:24">
      <c r="S940" s="25"/>
      <c r="T940" s="25"/>
      <c r="U940" s="25"/>
      <c r="V940" s="26"/>
      <c r="W940" s="26"/>
      <c r="X940" s="27"/>
    </row>
    <row r="941" spans="19:24">
      <c r="S941" s="25"/>
      <c r="T941" s="25"/>
      <c r="U941" s="25"/>
      <c r="V941" s="26"/>
      <c r="W941" s="26"/>
      <c r="X941" s="27"/>
    </row>
    <row r="942" spans="19:24">
      <c r="S942" s="25"/>
      <c r="T942" s="25"/>
      <c r="U942" s="25"/>
      <c r="V942" s="26"/>
      <c r="W942" s="26"/>
      <c r="X942" s="27"/>
    </row>
    <row r="943" spans="19:24">
      <c r="S943" s="25"/>
      <c r="T943" s="25"/>
      <c r="U943" s="25"/>
      <c r="V943" s="26"/>
      <c r="W943" s="26"/>
      <c r="X943" s="27"/>
    </row>
    <row r="944" spans="19:24">
      <c r="S944" s="25"/>
      <c r="T944" s="25"/>
      <c r="U944" s="25"/>
      <c r="V944" s="26"/>
      <c r="W944" s="26"/>
      <c r="X944" s="27"/>
    </row>
    <row r="945" spans="19:24">
      <c r="S945" s="25"/>
      <c r="T945" s="25"/>
      <c r="U945" s="25"/>
      <c r="V945" s="26"/>
      <c r="W945" s="26"/>
      <c r="X945" s="27"/>
    </row>
    <row r="946" spans="19:24">
      <c r="S946" s="25"/>
      <c r="T946" s="25"/>
      <c r="U946" s="25"/>
      <c r="V946" s="26"/>
      <c r="W946" s="26"/>
      <c r="X946" s="27"/>
    </row>
    <row r="947" spans="19:24">
      <c r="S947" s="25"/>
      <c r="T947" s="25"/>
      <c r="U947" s="25"/>
      <c r="V947" s="26"/>
      <c r="W947" s="26"/>
      <c r="X947" s="27"/>
    </row>
    <row r="948" spans="19:24">
      <c r="S948" s="25"/>
      <c r="T948" s="25"/>
      <c r="U948" s="25"/>
      <c r="V948" s="26"/>
      <c r="W948" s="26"/>
      <c r="X948" s="27"/>
    </row>
    <row r="949" spans="19:24">
      <c r="S949" s="25"/>
      <c r="T949" s="25"/>
      <c r="U949" s="25"/>
      <c r="V949" s="26"/>
      <c r="W949" s="26"/>
      <c r="X949" s="27"/>
    </row>
    <row r="950" spans="19:24">
      <c r="S950" s="25"/>
      <c r="T950" s="25"/>
      <c r="U950" s="25"/>
      <c r="V950" s="26"/>
      <c r="W950" s="26"/>
      <c r="X950" s="27"/>
    </row>
    <row r="951" spans="19:24">
      <c r="S951" s="25"/>
      <c r="T951" s="25"/>
      <c r="U951" s="25"/>
      <c r="V951" s="26"/>
      <c r="W951" s="26"/>
      <c r="X951" s="27"/>
    </row>
    <row r="952" spans="19:24">
      <c r="S952" s="25"/>
      <c r="T952" s="25"/>
      <c r="U952" s="25"/>
      <c r="V952" s="26"/>
      <c r="W952" s="26"/>
      <c r="X952" s="27"/>
    </row>
    <row r="953" spans="19:24">
      <c r="S953" s="25"/>
      <c r="T953" s="25"/>
      <c r="U953" s="25"/>
      <c r="V953" s="26"/>
      <c r="W953" s="26"/>
      <c r="X953" s="27"/>
    </row>
    <row r="954" spans="19:24">
      <c r="S954" s="25"/>
      <c r="T954" s="25"/>
      <c r="U954" s="25"/>
      <c r="V954" s="26"/>
      <c r="W954" s="26"/>
      <c r="X954" s="27"/>
    </row>
    <row r="955" spans="19:24">
      <c r="S955" s="25"/>
      <c r="T955" s="25"/>
      <c r="U955" s="25"/>
      <c r="V955" s="26"/>
      <c r="W955" s="26"/>
      <c r="X955" s="27"/>
    </row>
    <row r="956" spans="19:24">
      <c r="S956" s="25"/>
      <c r="T956" s="25"/>
      <c r="U956" s="25"/>
      <c r="V956" s="26"/>
      <c r="W956" s="26"/>
      <c r="X956" s="27"/>
    </row>
    <row r="957" spans="19:24">
      <c r="S957" s="25"/>
      <c r="T957" s="25"/>
      <c r="U957" s="25"/>
      <c r="V957" s="26"/>
      <c r="W957" s="26"/>
      <c r="X957" s="27"/>
    </row>
    <row r="958" spans="19:24">
      <c r="S958" s="25"/>
      <c r="T958" s="25"/>
      <c r="U958" s="25"/>
      <c r="V958" s="26"/>
      <c r="W958" s="26"/>
      <c r="X958" s="27"/>
    </row>
    <row r="959" spans="19:24">
      <c r="S959" s="25"/>
      <c r="T959" s="25"/>
      <c r="U959" s="25"/>
      <c r="V959" s="26"/>
      <c r="W959" s="26"/>
      <c r="X959" s="27"/>
    </row>
    <row r="960" spans="19:24">
      <c r="S960" s="25"/>
      <c r="T960" s="25"/>
      <c r="U960" s="25"/>
      <c r="V960" s="26"/>
      <c r="W960" s="26"/>
      <c r="X960" s="27"/>
    </row>
    <row r="961" spans="19:24">
      <c r="S961" s="25"/>
      <c r="T961" s="25"/>
      <c r="U961" s="25"/>
      <c r="V961" s="26"/>
      <c r="W961" s="26"/>
      <c r="X961" s="27"/>
    </row>
    <row r="962" spans="19:24">
      <c r="S962" s="25"/>
      <c r="T962" s="25"/>
      <c r="U962" s="25"/>
      <c r="V962" s="26"/>
      <c r="W962" s="26"/>
      <c r="X962" s="27"/>
    </row>
    <row r="963" spans="19:24">
      <c r="S963" s="25"/>
      <c r="T963" s="25"/>
      <c r="U963" s="25"/>
      <c r="V963" s="26"/>
      <c r="W963" s="26"/>
      <c r="X963" s="27"/>
    </row>
    <row r="964" spans="19:24">
      <c r="S964" s="25"/>
      <c r="T964" s="25"/>
      <c r="U964" s="25"/>
      <c r="V964" s="26"/>
      <c r="W964" s="26"/>
      <c r="X964" s="27"/>
    </row>
    <row r="965" spans="19:24">
      <c r="S965" s="25"/>
      <c r="T965" s="25"/>
      <c r="U965" s="25"/>
      <c r="V965" s="26"/>
      <c r="W965" s="26"/>
      <c r="X965" s="27"/>
    </row>
    <row r="966" spans="19:24">
      <c r="S966" s="25"/>
      <c r="T966" s="25"/>
      <c r="U966" s="25"/>
      <c r="V966" s="26"/>
      <c r="W966" s="26"/>
      <c r="X966" s="27"/>
    </row>
    <row r="967" spans="19:24">
      <c r="S967" s="25"/>
      <c r="T967" s="25"/>
      <c r="U967" s="25"/>
      <c r="V967" s="26"/>
      <c r="W967" s="26"/>
      <c r="X967" s="27"/>
    </row>
    <row r="968" spans="19:24">
      <c r="S968" s="25"/>
      <c r="T968" s="25"/>
      <c r="U968" s="25"/>
      <c r="V968" s="26"/>
      <c r="W968" s="26"/>
      <c r="X968" s="27"/>
    </row>
    <row r="969" spans="19:24">
      <c r="S969" s="25"/>
      <c r="T969" s="25"/>
      <c r="U969" s="25"/>
      <c r="V969" s="26"/>
      <c r="W969" s="26"/>
      <c r="X969" s="27"/>
    </row>
    <row r="970" spans="19:24">
      <c r="S970" s="25"/>
      <c r="T970" s="25"/>
      <c r="U970" s="25"/>
      <c r="V970" s="26"/>
      <c r="W970" s="26"/>
      <c r="X970" s="27"/>
    </row>
    <row r="971" spans="19:24">
      <c r="S971" s="25"/>
      <c r="T971" s="25"/>
      <c r="U971" s="25"/>
      <c r="V971" s="26"/>
      <c r="W971" s="26"/>
      <c r="X971" s="27"/>
    </row>
    <row r="972" spans="19:24">
      <c r="S972" s="25"/>
      <c r="T972" s="25"/>
      <c r="U972" s="25"/>
      <c r="V972" s="26"/>
      <c r="W972" s="26"/>
      <c r="X972" s="27"/>
    </row>
    <row r="973" spans="19:24">
      <c r="S973" s="25"/>
      <c r="T973" s="25"/>
      <c r="U973" s="25"/>
      <c r="V973" s="26"/>
      <c r="W973" s="26"/>
      <c r="X973" s="27"/>
    </row>
    <row r="974" spans="19:24">
      <c r="S974" s="25"/>
      <c r="T974" s="25"/>
      <c r="U974" s="25"/>
      <c r="V974" s="26"/>
      <c r="W974" s="26"/>
      <c r="X974" s="27"/>
    </row>
    <row r="975" spans="19:24">
      <c r="S975" s="25"/>
      <c r="T975" s="25"/>
      <c r="U975" s="25"/>
      <c r="V975" s="26"/>
      <c r="W975" s="26"/>
      <c r="X975" s="27"/>
    </row>
    <row r="976" spans="19:24">
      <c r="S976" s="25"/>
      <c r="T976" s="25"/>
      <c r="U976" s="25"/>
      <c r="V976" s="26"/>
      <c r="W976" s="26"/>
      <c r="X976" s="27"/>
    </row>
    <row r="977" spans="19:24">
      <c r="S977" s="25"/>
      <c r="T977" s="25"/>
      <c r="U977" s="25"/>
      <c r="V977" s="26"/>
      <c r="W977" s="26"/>
      <c r="X977" s="27"/>
    </row>
    <row r="978" spans="19:24">
      <c r="S978" s="25"/>
      <c r="T978" s="25"/>
      <c r="U978" s="25"/>
      <c r="V978" s="26"/>
      <c r="W978" s="26"/>
      <c r="X978" s="27"/>
    </row>
    <row r="979" spans="19:24">
      <c r="S979" s="25"/>
      <c r="T979" s="25"/>
      <c r="U979" s="25"/>
      <c r="V979" s="26"/>
      <c r="W979" s="26"/>
      <c r="X979" s="27"/>
    </row>
    <row r="980" spans="19:24">
      <c r="S980" s="25"/>
      <c r="T980" s="25"/>
      <c r="U980" s="25"/>
      <c r="V980" s="26"/>
      <c r="W980" s="26"/>
      <c r="X980" s="27"/>
    </row>
    <row r="981" spans="19:24">
      <c r="S981" s="25"/>
      <c r="T981" s="25"/>
      <c r="U981" s="25"/>
      <c r="V981" s="26"/>
      <c r="W981" s="26"/>
      <c r="X981" s="27"/>
    </row>
  </sheetData>
  <sheetProtection algorithmName="SHA-512" hashValue="diaWGqMEWYeP3YED9lrCXULJCcySJM45164lA9qkHMIDorvBiyo2cG4SOvz+zpztF7Ifj1FqzGD4KFtPpO3VvA==" saltValue="Xc7FWIZghvk9noawHdo36g==" spinCount="100000" sheet="1" objects="1" scenarios="1" selectLockedCells="1"/>
  <mergeCells count="2">
    <mergeCell ref="C1:D1"/>
    <mergeCell ref="P1:Q1"/>
  </mergeCells>
  <phoneticPr fontId="1"/>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sheetPr>
  <dimension ref="A1:J83"/>
  <sheetViews>
    <sheetView workbookViewId="0">
      <selection activeCell="E7" sqref="E7:E10"/>
    </sheetView>
  </sheetViews>
  <sheetFormatPr defaultColWidth="9" defaultRowHeight="13.5"/>
  <cols>
    <col min="1" max="10" width="10.625" style="77" customWidth="1"/>
    <col min="11" max="16384" width="9" style="77"/>
  </cols>
  <sheetData>
    <row r="1" spans="1:10" ht="28.5">
      <c r="A1" s="74" t="s">
        <v>534</v>
      </c>
      <c r="B1" s="74"/>
      <c r="C1" s="75"/>
      <c r="D1" s="75"/>
      <c r="E1" s="75"/>
      <c r="F1" s="75"/>
      <c r="G1" s="75"/>
      <c r="H1" s="76"/>
      <c r="I1" s="76"/>
      <c r="J1" s="76"/>
    </row>
    <row r="2" spans="1:10" ht="28.5">
      <c r="A2" s="78" t="s">
        <v>535</v>
      </c>
      <c r="B2" s="74"/>
      <c r="C2" s="75"/>
      <c r="D2" s="75"/>
      <c r="E2" s="75"/>
      <c r="F2" s="75"/>
      <c r="G2" s="75"/>
      <c r="H2" s="76"/>
      <c r="I2" s="76"/>
      <c r="J2" s="76"/>
    </row>
    <row r="3" spans="1:10">
      <c r="A3" s="1269">
        <v>2022</v>
      </c>
      <c r="B3" s="1270"/>
      <c r="C3" s="1271">
        <f>A3+1</f>
        <v>2023</v>
      </c>
      <c r="D3" s="1272"/>
      <c r="E3" s="1271">
        <f>C3+1</f>
        <v>2024</v>
      </c>
      <c r="F3" s="1272"/>
      <c r="G3" s="1271">
        <f>E3+1</f>
        <v>2025</v>
      </c>
      <c r="H3" s="1272"/>
      <c r="I3" s="1271">
        <f>G3+1</f>
        <v>2026</v>
      </c>
      <c r="J3" s="1272"/>
    </row>
    <row r="4" spans="1:10">
      <c r="A4" s="79" t="s">
        <v>536</v>
      </c>
      <c r="B4" s="80" t="s">
        <v>537</v>
      </c>
      <c r="C4" s="81" t="str">
        <f>A4</f>
        <v>日付</v>
      </c>
      <c r="D4" s="82" t="str">
        <f>B4</f>
        <v>祝日名</v>
      </c>
      <c r="E4" s="81" t="str">
        <f t="shared" ref="E4:J4" si="0">C4</f>
        <v>日付</v>
      </c>
      <c r="F4" s="82" t="str">
        <f t="shared" si="0"/>
        <v>祝日名</v>
      </c>
      <c r="G4" s="81" t="str">
        <f t="shared" si="0"/>
        <v>日付</v>
      </c>
      <c r="H4" s="82" t="str">
        <f t="shared" si="0"/>
        <v>祝日名</v>
      </c>
      <c r="I4" s="81" t="str">
        <f t="shared" si="0"/>
        <v>日付</v>
      </c>
      <c r="J4" s="82" t="str">
        <f t="shared" si="0"/>
        <v>祝日名</v>
      </c>
    </row>
    <row r="5" spans="1:10">
      <c r="A5" s="83">
        <v>44562</v>
      </c>
      <c r="B5" s="84" t="s">
        <v>538</v>
      </c>
      <c r="C5" s="83">
        <v>44927</v>
      </c>
      <c r="D5" s="84" t="s">
        <v>538</v>
      </c>
      <c r="E5" s="83">
        <v>45292</v>
      </c>
      <c r="F5" s="84" t="s">
        <v>538</v>
      </c>
      <c r="G5" s="83">
        <v>45658</v>
      </c>
      <c r="H5" s="84" t="s">
        <v>538</v>
      </c>
      <c r="I5" s="83"/>
      <c r="J5" s="84"/>
    </row>
    <row r="6" spans="1:10">
      <c r="A6" s="83">
        <v>44571</v>
      </c>
      <c r="B6" s="84" t="s">
        <v>539</v>
      </c>
      <c r="C6" s="83">
        <v>44928</v>
      </c>
      <c r="D6" s="84" t="s">
        <v>974</v>
      </c>
      <c r="E6" s="83">
        <v>45299</v>
      </c>
      <c r="F6" s="84" t="s">
        <v>539</v>
      </c>
      <c r="G6" s="83">
        <v>45670</v>
      </c>
      <c r="H6" s="84" t="s">
        <v>539</v>
      </c>
      <c r="I6" s="83"/>
      <c r="J6" s="84"/>
    </row>
    <row r="7" spans="1:10">
      <c r="A7" s="83">
        <v>44603</v>
      </c>
      <c r="B7" s="84" t="s">
        <v>540</v>
      </c>
      <c r="C7" s="83">
        <v>44935</v>
      </c>
      <c r="D7" s="84" t="s">
        <v>539</v>
      </c>
      <c r="E7" s="83">
        <v>45333</v>
      </c>
      <c r="F7" s="84" t="s">
        <v>540</v>
      </c>
      <c r="G7" s="83">
        <v>45699</v>
      </c>
      <c r="H7" s="84" t="s">
        <v>540</v>
      </c>
      <c r="I7" s="83"/>
      <c r="J7" s="84"/>
    </row>
    <row r="8" spans="1:10">
      <c r="A8" s="83">
        <v>44615</v>
      </c>
      <c r="B8" s="84" t="s">
        <v>542</v>
      </c>
      <c r="C8" s="83">
        <v>44968</v>
      </c>
      <c r="D8" s="84" t="s">
        <v>540</v>
      </c>
      <c r="E8" s="83">
        <v>45334</v>
      </c>
      <c r="F8" s="84" t="s">
        <v>975</v>
      </c>
      <c r="G8" s="83">
        <v>45711</v>
      </c>
      <c r="H8" s="84" t="s">
        <v>542</v>
      </c>
      <c r="I8" s="83"/>
      <c r="J8" s="84"/>
    </row>
    <row r="9" spans="1:10">
      <c r="A9" s="83">
        <v>44641</v>
      </c>
      <c r="B9" s="84" t="s">
        <v>541</v>
      </c>
      <c r="C9" s="83">
        <v>44980</v>
      </c>
      <c r="D9" s="84" t="s">
        <v>542</v>
      </c>
      <c r="E9" s="83">
        <v>45345</v>
      </c>
      <c r="F9" s="84" t="s">
        <v>542</v>
      </c>
      <c r="G9" s="83">
        <v>45712</v>
      </c>
      <c r="H9" s="84" t="s">
        <v>986</v>
      </c>
      <c r="I9" s="83"/>
      <c r="J9" s="84"/>
    </row>
    <row r="10" spans="1:10">
      <c r="A10" s="83">
        <v>44680</v>
      </c>
      <c r="B10" s="84" t="s">
        <v>543</v>
      </c>
      <c r="C10" s="83">
        <v>45006</v>
      </c>
      <c r="D10" s="84" t="s">
        <v>541</v>
      </c>
      <c r="E10" s="731">
        <v>45371</v>
      </c>
      <c r="F10" s="730" t="s">
        <v>541</v>
      </c>
      <c r="G10" s="83">
        <v>45736</v>
      </c>
      <c r="H10" s="84" t="s">
        <v>541</v>
      </c>
      <c r="I10" s="83"/>
      <c r="J10" s="84"/>
    </row>
    <row r="11" spans="1:10">
      <c r="A11" s="83">
        <v>44684</v>
      </c>
      <c r="B11" s="84" t="s">
        <v>544</v>
      </c>
      <c r="C11" s="83">
        <v>45045</v>
      </c>
      <c r="D11" s="84" t="s">
        <v>543</v>
      </c>
      <c r="E11" s="731">
        <v>45411</v>
      </c>
      <c r="F11" s="730" t="s">
        <v>543</v>
      </c>
      <c r="G11" s="83">
        <v>45776</v>
      </c>
      <c r="H11" s="84" t="s">
        <v>543</v>
      </c>
      <c r="I11" s="83"/>
      <c r="J11" s="84"/>
    </row>
    <row r="12" spans="1:10">
      <c r="A12" s="83">
        <v>44685</v>
      </c>
      <c r="B12" s="84" t="s">
        <v>545</v>
      </c>
      <c r="C12" s="83">
        <v>45049</v>
      </c>
      <c r="D12" s="84" t="s">
        <v>544</v>
      </c>
      <c r="E12" s="731">
        <v>45415</v>
      </c>
      <c r="F12" s="730" t="s">
        <v>544</v>
      </c>
      <c r="G12" s="83">
        <v>45780</v>
      </c>
      <c r="H12" s="84" t="s">
        <v>544</v>
      </c>
      <c r="I12" s="83"/>
      <c r="J12" s="84"/>
    </row>
    <row r="13" spans="1:10">
      <c r="A13" s="83">
        <v>44686</v>
      </c>
      <c r="B13" s="84" t="s">
        <v>546</v>
      </c>
      <c r="C13" s="83">
        <v>45050</v>
      </c>
      <c r="D13" s="84" t="s">
        <v>545</v>
      </c>
      <c r="E13" s="731">
        <v>45416</v>
      </c>
      <c r="F13" s="730" t="s">
        <v>545</v>
      </c>
      <c r="G13" s="83">
        <v>45781</v>
      </c>
      <c r="H13" s="84" t="s">
        <v>545</v>
      </c>
      <c r="I13" s="83"/>
      <c r="J13" s="84"/>
    </row>
    <row r="14" spans="1:10">
      <c r="A14" s="83">
        <v>44760</v>
      </c>
      <c r="B14" s="84" t="s">
        <v>547</v>
      </c>
      <c r="C14" s="83">
        <v>45051</v>
      </c>
      <c r="D14" s="84" t="s">
        <v>546</v>
      </c>
      <c r="E14" s="731">
        <v>45417</v>
      </c>
      <c r="F14" s="730" t="s">
        <v>546</v>
      </c>
      <c r="G14" s="83">
        <v>45782</v>
      </c>
      <c r="H14" s="84" t="s">
        <v>546</v>
      </c>
      <c r="I14" s="83"/>
      <c r="J14" s="84"/>
    </row>
    <row r="15" spans="1:10">
      <c r="A15" s="83">
        <v>44784</v>
      </c>
      <c r="B15" s="84" t="s">
        <v>548</v>
      </c>
      <c r="C15" s="83">
        <v>45124</v>
      </c>
      <c r="D15" s="84" t="s">
        <v>547</v>
      </c>
      <c r="E15" s="731">
        <v>45418</v>
      </c>
      <c r="F15" s="730" t="s">
        <v>976</v>
      </c>
      <c r="G15" s="83">
        <v>45783</v>
      </c>
      <c r="H15" s="84" t="s">
        <v>987</v>
      </c>
      <c r="I15" s="83"/>
      <c r="J15" s="84"/>
    </row>
    <row r="16" spans="1:10">
      <c r="A16" s="83">
        <v>44823</v>
      </c>
      <c r="B16" s="84" t="s">
        <v>747</v>
      </c>
      <c r="C16" s="83">
        <v>45149</v>
      </c>
      <c r="D16" s="84" t="s">
        <v>548</v>
      </c>
      <c r="E16" s="731">
        <v>45488</v>
      </c>
      <c r="F16" s="730" t="s">
        <v>977</v>
      </c>
      <c r="G16" s="83">
        <v>45859</v>
      </c>
      <c r="H16" s="84" t="s">
        <v>977</v>
      </c>
      <c r="I16" s="83"/>
      <c r="J16" s="84"/>
    </row>
    <row r="17" spans="1:10">
      <c r="A17" s="83">
        <v>44827</v>
      </c>
      <c r="B17" s="84" t="s">
        <v>551</v>
      </c>
      <c r="C17" s="83">
        <v>45187</v>
      </c>
      <c r="D17" s="84" t="s">
        <v>549</v>
      </c>
      <c r="E17" s="731">
        <v>45515</v>
      </c>
      <c r="F17" s="730" t="s">
        <v>978</v>
      </c>
      <c r="G17" s="83">
        <v>45880</v>
      </c>
      <c r="H17" s="84" t="s">
        <v>978</v>
      </c>
      <c r="I17" s="83"/>
      <c r="J17" s="84"/>
    </row>
    <row r="18" spans="1:10">
      <c r="A18" s="83">
        <v>44844</v>
      </c>
      <c r="B18" s="84" t="s">
        <v>550</v>
      </c>
      <c r="C18" s="83">
        <v>45192</v>
      </c>
      <c r="D18" s="84" t="s">
        <v>551</v>
      </c>
      <c r="E18" s="731">
        <v>45516</v>
      </c>
      <c r="F18" s="730" t="s">
        <v>979</v>
      </c>
      <c r="G18" s="83">
        <v>45915</v>
      </c>
      <c r="H18" s="84" t="s">
        <v>747</v>
      </c>
      <c r="I18" s="83"/>
      <c r="J18" s="84"/>
    </row>
    <row r="19" spans="1:10">
      <c r="A19" s="83">
        <v>44868</v>
      </c>
      <c r="B19" s="84" t="s">
        <v>552</v>
      </c>
      <c r="C19" s="83">
        <v>45208</v>
      </c>
      <c r="D19" s="84" t="s">
        <v>550</v>
      </c>
      <c r="E19" s="731">
        <v>45551</v>
      </c>
      <c r="F19" s="730" t="s">
        <v>747</v>
      </c>
      <c r="G19" s="83">
        <v>45923</v>
      </c>
      <c r="H19" s="84" t="s">
        <v>980</v>
      </c>
      <c r="I19" s="83"/>
      <c r="J19" s="84"/>
    </row>
    <row r="20" spans="1:10">
      <c r="A20" s="83">
        <v>44888</v>
      </c>
      <c r="B20" s="84" t="s">
        <v>553</v>
      </c>
      <c r="C20" s="83">
        <v>45233</v>
      </c>
      <c r="D20" s="84" t="s">
        <v>552</v>
      </c>
      <c r="E20" s="731">
        <v>45557</v>
      </c>
      <c r="F20" s="730" t="s">
        <v>980</v>
      </c>
      <c r="G20" s="83">
        <v>45943</v>
      </c>
      <c r="H20" s="84" t="s">
        <v>550</v>
      </c>
      <c r="I20" s="83"/>
      <c r="J20" s="730"/>
    </row>
    <row r="21" spans="1:10">
      <c r="A21" s="1083">
        <v>44926</v>
      </c>
      <c r="B21" s="1084" t="s">
        <v>1178</v>
      </c>
      <c r="C21" s="83">
        <v>45253</v>
      </c>
      <c r="D21" s="84" t="s">
        <v>553</v>
      </c>
      <c r="E21" s="731">
        <v>45558</v>
      </c>
      <c r="F21" s="730" t="s">
        <v>981</v>
      </c>
      <c r="G21" s="83">
        <v>45964</v>
      </c>
      <c r="H21" s="84" t="s">
        <v>552</v>
      </c>
      <c r="I21" s="83"/>
      <c r="J21" s="730"/>
    </row>
    <row r="22" spans="1:10">
      <c r="A22" s="83"/>
      <c r="B22" s="84"/>
      <c r="C22" s="1083">
        <v>45290</v>
      </c>
      <c r="D22" s="1084" t="s">
        <v>1178</v>
      </c>
      <c r="E22" s="731">
        <v>45579</v>
      </c>
      <c r="F22" s="730" t="s">
        <v>982</v>
      </c>
      <c r="G22" s="83">
        <v>45984</v>
      </c>
      <c r="H22" s="84" t="s">
        <v>553</v>
      </c>
      <c r="I22" s="83"/>
      <c r="J22" s="730"/>
    </row>
    <row r="23" spans="1:10">
      <c r="A23" s="83"/>
      <c r="B23" s="84"/>
      <c r="C23" s="83"/>
      <c r="D23" s="84"/>
      <c r="E23" s="83">
        <v>45599</v>
      </c>
      <c r="F23" s="84" t="s">
        <v>983</v>
      </c>
      <c r="G23" s="83">
        <v>45985</v>
      </c>
      <c r="H23" s="84" t="s">
        <v>988</v>
      </c>
      <c r="I23" s="83"/>
      <c r="J23" s="84"/>
    </row>
    <row r="24" spans="1:10">
      <c r="A24" s="83"/>
      <c r="B24" s="84"/>
      <c r="C24" s="83"/>
      <c r="D24" s="84"/>
      <c r="E24" s="83">
        <v>45600</v>
      </c>
      <c r="F24" s="84" t="s">
        <v>984</v>
      </c>
      <c r="G24" s="83"/>
      <c r="H24" s="84"/>
      <c r="I24" s="83"/>
      <c r="J24" s="84"/>
    </row>
    <row r="25" spans="1:10">
      <c r="A25" s="83"/>
      <c r="B25" s="84"/>
      <c r="C25" s="83"/>
      <c r="D25" s="84"/>
      <c r="E25" s="83">
        <v>45619</v>
      </c>
      <c r="F25" s="84" t="s">
        <v>985</v>
      </c>
      <c r="G25" s="83"/>
      <c r="H25" s="84"/>
      <c r="I25" s="83"/>
      <c r="J25" s="84"/>
    </row>
    <row r="26" spans="1:10">
      <c r="A26" s="83"/>
      <c r="B26" s="84"/>
      <c r="C26" s="83"/>
      <c r="D26" s="84"/>
      <c r="E26" s="83"/>
      <c r="F26" s="84"/>
      <c r="G26" s="83"/>
      <c r="H26" s="84"/>
      <c r="I26" s="83"/>
      <c r="J26" s="84"/>
    </row>
    <row r="27" spans="1:10">
      <c r="A27" s="83"/>
      <c r="B27" s="84"/>
      <c r="C27" s="83"/>
      <c r="D27" s="84"/>
      <c r="E27" s="83"/>
      <c r="F27" s="84"/>
      <c r="G27" s="83"/>
      <c r="H27" s="84"/>
      <c r="I27" s="83"/>
      <c r="J27" s="84"/>
    </row>
    <row r="28" spans="1:10">
      <c r="A28" s="83"/>
      <c r="B28" s="84"/>
      <c r="C28" s="83"/>
      <c r="D28" s="84"/>
      <c r="E28" s="83"/>
      <c r="F28" s="84"/>
      <c r="G28" s="83"/>
      <c r="H28" s="84"/>
      <c r="I28" s="83"/>
      <c r="J28" s="84"/>
    </row>
    <row r="29" spans="1:10">
      <c r="A29" s="83"/>
      <c r="B29" s="84"/>
      <c r="C29" s="83"/>
      <c r="D29" s="84"/>
      <c r="E29" s="83"/>
      <c r="F29" s="84"/>
      <c r="G29" s="83"/>
      <c r="H29" s="84"/>
      <c r="I29" s="83"/>
      <c r="J29" s="84"/>
    </row>
    <row r="30" spans="1:10">
      <c r="A30" s="83"/>
      <c r="B30" s="84"/>
      <c r="C30" s="83"/>
      <c r="D30" s="84"/>
      <c r="E30" s="83"/>
      <c r="F30" s="84"/>
      <c r="G30" s="83"/>
      <c r="H30" s="84"/>
      <c r="I30" s="83"/>
      <c r="J30" s="84"/>
    </row>
    <row r="31" spans="1:10">
      <c r="A31" s="83"/>
      <c r="B31" s="84"/>
      <c r="C31" s="83"/>
      <c r="D31" s="84"/>
      <c r="E31" s="83"/>
      <c r="F31" s="84"/>
      <c r="G31" s="83"/>
      <c r="H31" s="84"/>
      <c r="I31" s="83"/>
      <c r="J31" s="84"/>
    </row>
    <row r="32" spans="1:10">
      <c r="A32" s="83"/>
      <c r="B32" s="84"/>
      <c r="C32" s="83"/>
      <c r="D32" s="84"/>
      <c r="E32" s="83"/>
      <c r="F32" s="84"/>
      <c r="G32" s="83"/>
      <c r="H32" s="84"/>
      <c r="I32" s="83"/>
      <c r="J32" s="84"/>
    </row>
    <row r="34" spans="3:3">
      <c r="C34" s="85"/>
    </row>
    <row r="35" spans="3:3">
      <c r="C35" s="85"/>
    </row>
    <row r="36" spans="3:3">
      <c r="C36" s="85"/>
    </row>
    <row r="37" spans="3:3">
      <c r="C37" s="85"/>
    </row>
    <row r="38" spans="3:3">
      <c r="C38" s="85"/>
    </row>
    <row r="39" spans="3:3">
      <c r="C39" s="85"/>
    </row>
    <row r="40" spans="3:3">
      <c r="C40" s="85"/>
    </row>
    <row r="41" spans="3:3">
      <c r="C41" s="85"/>
    </row>
    <row r="42" spans="3:3">
      <c r="C42" s="85"/>
    </row>
    <row r="43" spans="3:3">
      <c r="C43" s="85"/>
    </row>
    <row r="44" spans="3:3">
      <c r="C44" s="85"/>
    </row>
    <row r="45" spans="3:3">
      <c r="C45" s="85"/>
    </row>
    <row r="46" spans="3:3">
      <c r="C46" s="85"/>
    </row>
    <row r="47" spans="3:3">
      <c r="C47" s="85"/>
    </row>
    <row r="48" spans="3:3">
      <c r="C48" s="85"/>
    </row>
    <row r="49" spans="3:3">
      <c r="C49" s="85"/>
    </row>
    <row r="50" spans="3:3">
      <c r="C50" s="85"/>
    </row>
    <row r="51" spans="3:3">
      <c r="C51" s="85"/>
    </row>
    <row r="52" spans="3:3">
      <c r="C52" s="85"/>
    </row>
    <row r="53" spans="3:3">
      <c r="C53" s="85"/>
    </row>
    <row r="54" spans="3:3">
      <c r="C54" s="85"/>
    </row>
    <row r="55" spans="3:3">
      <c r="C55" s="85"/>
    </row>
    <row r="56" spans="3:3">
      <c r="C56" s="85"/>
    </row>
    <row r="57" spans="3:3">
      <c r="C57" s="85"/>
    </row>
    <row r="58" spans="3:3">
      <c r="C58" s="85"/>
    </row>
    <row r="59" spans="3:3">
      <c r="C59" s="85"/>
    </row>
    <row r="60" spans="3:3">
      <c r="C60" s="85"/>
    </row>
    <row r="61" spans="3:3">
      <c r="C61" s="85"/>
    </row>
    <row r="62" spans="3:3">
      <c r="C62" s="85"/>
    </row>
    <row r="63" spans="3:3">
      <c r="C63" s="85"/>
    </row>
    <row r="64" spans="3:3">
      <c r="C64" s="85"/>
    </row>
    <row r="65" spans="3:3">
      <c r="C65" s="85"/>
    </row>
    <row r="66" spans="3:3">
      <c r="C66" s="85"/>
    </row>
    <row r="67" spans="3:3">
      <c r="C67" s="85"/>
    </row>
    <row r="68" spans="3:3">
      <c r="C68" s="85"/>
    </row>
    <row r="69" spans="3:3">
      <c r="C69" s="85"/>
    </row>
    <row r="70" spans="3:3">
      <c r="C70" s="85"/>
    </row>
    <row r="71" spans="3:3">
      <c r="C71" s="85"/>
    </row>
    <row r="72" spans="3:3">
      <c r="C72" s="85"/>
    </row>
    <row r="73" spans="3:3">
      <c r="C73" s="85"/>
    </row>
    <row r="74" spans="3:3">
      <c r="C74" s="85"/>
    </row>
    <row r="75" spans="3:3">
      <c r="C75" s="85"/>
    </row>
    <row r="76" spans="3:3">
      <c r="C76" s="85"/>
    </row>
    <row r="77" spans="3:3">
      <c r="C77" s="85"/>
    </row>
    <row r="78" spans="3:3">
      <c r="C78" s="85"/>
    </row>
    <row r="79" spans="3:3">
      <c r="C79" s="85"/>
    </row>
    <row r="80" spans="3:3">
      <c r="C80" s="85"/>
    </row>
    <row r="81" spans="3:3">
      <c r="C81" s="85"/>
    </row>
    <row r="82" spans="3:3">
      <c r="C82" s="85"/>
    </row>
    <row r="83" spans="3:3">
      <c r="C83" s="85"/>
    </row>
  </sheetData>
  <sheetProtection algorithmName="SHA-512" hashValue="H680lWKKsDl/ohaldX/yiilRsDDJv65WcFgyIycTmSNQWzm/MIQ9lhDQzJGf4PBATipKLZ752EevBhCpWRrkKg==" saltValue="MrybDI5EvutYqIzGqY2hbw==" spinCount="100000" sheet="1" objects="1" scenarios="1" selectLockedCells="1"/>
  <mergeCells count="5">
    <mergeCell ref="A3:B3"/>
    <mergeCell ref="C3:D3"/>
    <mergeCell ref="E3:F3"/>
    <mergeCell ref="G3:H3"/>
    <mergeCell ref="I3:J3"/>
  </mergeCells>
  <phoneticPr fontId="1"/>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A2:M74"/>
  <sheetViews>
    <sheetView workbookViewId="0">
      <selection activeCell="E7" sqref="E7:E10"/>
    </sheetView>
  </sheetViews>
  <sheetFormatPr defaultColWidth="9" defaultRowHeight="13.5"/>
  <cols>
    <col min="1" max="12" width="9" style="62"/>
    <col min="13" max="13" width="11.375" style="62" bestFit="1" customWidth="1"/>
    <col min="14" max="16384" width="9" style="62"/>
  </cols>
  <sheetData>
    <row r="2" spans="1:13">
      <c r="A2" s="1299" t="s">
        <v>161</v>
      </c>
      <c r="B2" s="1300"/>
      <c r="C2" s="1293" t="s">
        <v>158</v>
      </c>
      <c r="D2" s="1293"/>
      <c r="E2" s="1293"/>
      <c r="F2" s="1293"/>
      <c r="G2" s="1293"/>
      <c r="H2" s="1293"/>
      <c r="I2" s="1293"/>
      <c r="J2" s="1293"/>
      <c r="K2" s="1293"/>
      <c r="L2" s="1293"/>
      <c r="M2" s="1293"/>
    </row>
    <row r="3" spans="1:13">
      <c r="A3" s="1301"/>
      <c r="B3" s="1302"/>
      <c r="C3" s="1293"/>
      <c r="D3" s="1293"/>
      <c r="E3" s="1293"/>
      <c r="F3" s="1293"/>
      <c r="G3" s="1293"/>
      <c r="H3" s="1293"/>
      <c r="I3" s="1293"/>
      <c r="J3" s="1293"/>
      <c r="K3" s="1293"/>
      <c r="L3" s="1293"/>
      <c r="M3" s="1293"/>
    </row>
    <row r="4" spans="1:13">
      <c r="A4" s="1301"/>
      <c r="B4" s="1302"/>
      <c r="C4" s="1294" t="s">
        <v>432</v>
      </c>
      <c r="D4" s="1132"/>
      <c r="E4" s="1294" t="s">
        <v>1233</v>
      </c>
      <c r="F4" s="63"/>
      <c r="G4" s="1274" t="s">
        <v>159</v>
      </c>
      <c r="I4" s="1297" t="s">
        <v>433</v>
      </c>
      <c r="J4" s="1132"/>
      <c r="K4" s="1294" t="s">
        <v>1233</v>
      </c>
      <c r="M4" s="1297" t="s">
        <v>426</v>
      </c>
    </row>
    <row r="5" spans="1:13">
      <c r="A5" s="1303"/>
      <c r="B5" s="1304"/>
      <c r="C5" s="1295"/>
      <c r="D5" s="64"/>
      <c r="E5" s="1295"/>
      <c r="F5" s="64"/>
      <c r="G5" s="1274"/>
      <c r="I5" s="1298"/>
      <c r="J5" s="64"/>
      <c r="K5" s="1295"/>
      <c r="M5" s="1298"/>
    </row>
    <row r="6" spans="1:13">
      <c r="A6" s="65"/>
      <c r="B6" s="66"/>
      <c r="C6" s="67"/>
      <c r="D6" s="68"/>
      <c r="E6" s="67"/>
      <c r="F6" s="68"/>
      <c r="G6" s="69"/>
      <c r="J6" s="68"/>
      <c r="K6" s="67"/>
    </row>
    <row r="7" spans="1:13">
      <c r="A7" s="1276" t="s">
        <v>162</v>
      </c>
      <c r="B7" s="1273">
        <v>1</v>
      </c>
      <c r="C7" s="1279">
        <v>20650</v>
      </c>
      <c r="D7" s="1282" t="s">
        <v>1232</v>
      </c>
      <c r="E7" s="1305" t="str">
        <f>【様式１】総括表・個票!J127</f>
        <v>×</v>
      </c>
      <c r="F7" s="1282" t="s">
        <v>160</v>
      </c>
      <c r="G7" s="1283">
        <v>200</v>
      </c>
      <c r="H7" s="1282" t="s">
        <v>428</v>
      </c>
      <c r="I7" s="1286">
        <v>12</v>
      </c>
      <c r="J7" s="1282" t="s">
        <v>160</v>
      </c>
      <c r="K7" s="1311" t="str">
        <f>E7</f>
        <v>×</v>
      </c>
      <c r="L7" s="1296" t="s">
        <v>434</v>
      </c>
      <c r="M7" s="1292" t="e">
        <f>C7*E7+G7*I7*K7</f>
        <v>#VALUE!</v>
      </c>
    </row>
    <row r="8" spans="1:13">
      <c r="A8" s="1277"/>
      <c r="B8" s="1274"/>
      <c r="C8" s="1280"/>
      <c r="D8" s="1282"/>
      <c r="E8" s="1306"/>
      <c r="F8" s="1282"/>
      <c r="G8" s="1284"/>
      <c r="H8" s="1282"/>
      <c r="I8" s="1287"/>
      <c r="J8" s="1282"/>
      <c r="K8" s="1309"/>
      <c r="L8" s="1282"/>
      <c r="M8" s="1292"/>
    </row>
    <row r="9" spans="1:13">
      <c r="A9" s="1277"/>
      <c r="B9" s="1274"/>
      <c r="C9" s="1280"/>
      <c r="D9" s="1282"/>
      <c r="E9" s="1306"/>
      <c r="F9" s="1282"/>
      <c r="G9" s="1284"/>
      <c r="H9" s="1282"/>
      <c r="I9" s="1287"/>
      <c r="J9" s="1282"/>
      <c r="K9" s="1309"/>
      <c r="L9" s="1282"/>
      <c r="M9" s="1292"/>
    </row>
    <row r="10" spans="1:13">
      <c r="A10" s="1277"/>
      <c r="B10" s="1275"/>
      <c r="C10" s="1281"/>
      <c r="D10" s="1282"/>
      <c r="E10" s="1307"/>
      <c r="F10" s="1282"/>
      <c r="G10" s="1285"/>
      <c r="H10" s="1282"/>
      <c r="I10" s="1288"/>
      <c r="J10" s="1282"/>
      <c r="K10" s="1310"/>
      <c r="L10" s="1282"/>
      <c r="M10" s="1292"/>
    </row>
    <row r="11" spans="1:13" ht="13.5" customHeight="1">
      <c r="A11" s="1278" t="s">
        <v>163</v>
      </c>
      <c r="B11" s="1273">
        <v>21</v>
      </c>
      <c r="C11" s="1279">
        <v>13760</v>
      </c>
      <c r="D11" s="1282" t="s">
        <v>1232</v>
      </c>
      <c r="E11" s="1308" t="str">
        <f>E7</f>
        <v>×</v>
      </c>
      <c r="F11" s="1282" t="s">
        <v>160</v>
      </c>
      <c r="G11" s="1283">
        <v>130</v>
      </c>
      <c r="H11" s="1282" t="s">
        <v>428</v>
      </c>
      <c r="I11" s="1289">
        <f>I7</f>
        <v>12</v>
      </c>
      <c r="J11" s="1282" t="s">
        <v>160</v>
      </c>
      <c r="K11" s="1308" t="str">
        <f t="shared" ref="K11" si="0">E11</f>
        <v>×</v>
      </c>
      <c r="L11" s="1296" t="s">
        <v>434</v>
      </c>
      <c r="M11" s="1292" t="e">
        <f t="shared" ref="M11" si="1">C11*E11+G11*I11*K11</f>
        <v>#VALUE!</v>
      </c>
    </row>
    <row r="12" spans="1:13">
      <c r="A12" s="1277"/>
      <c r="B12" s="1274"/>
      <c r="C12" s="1280"/>
      <c r="D12" s="1282"/>
      <c r="E12" s="1309"/>
      <c r="F12" s="1282"/>
      <c r="G12" s="1284"/>
      <c r="H12" s="1282"/>
      <c r="I12" s="1290"/>
      <c r="J12" s="1282"/>
      <c r="K12" s="1309"/>
      <c r="L12" s="1282"/>
      <c r="M12" s="1292"/>
    </row>
    <row r="13" spans="1:13">
      <c r="A13" s="1277"/>
      <c r="B13" s="1274"/>
      <c r="C13" s="1280"/>
      <c r="D13" s="1282"/>
      <c r="E13" s="1309"/>
      <c r="F13" s="1282"/>
      <c r="G13" s="1284"/>
      <c r="H13" s="1282"/>
      <c r="I13" s="1290"/>
      <c r="J13" s="1282"/>
      <c r="K13" s="1309"/>
      <c r="L13" s="1282"/>
      <c r="M13" s="1292"/>
    </row>
    <row r="14" spans="1:13">
      <c r="A14" s="1277"/>
      <c r="B14" s="1275"/>
      <c r="C14" s="1281"/>
      <c r="D14" s="1282"/>
      <c r="E14" s="1310"/>
      <c r="F14" s="1282"/>
      <c r="G14" s="1285"/>
      <c r="H14" s="1282"/>
      <c r="I14" s="1291"/>
      <c r="J14" s="1282"/>
      <c r="K14" s="1310"/>
      <c r="L14" s="1282"/>
      <c r="M14" s="1292"/>
    </row>
    <row r="15" spans="1:13" ht="13.5" customHeight="1">
      <c r="A15" s="1278" t="s">
        <v>164</v>
      </c>
      <c r="B15" s="1273">
        <v>31</v>
      </c>
      <c r="C15" s="1279">
        <v>10320</v>
      </c>
      <c r="D15" s="1282" t="s">
        <v>1232</v>
      </c>
      <c r="E15" s="1308" t="str">
        <f>E11</f>
        <v>×</v>
      </c>
      <c r="F15" s="1282" t="s">
        <v>160</v>
      </c>
      <c r="G15" s="1283">
        <v>100</v>
      </c>
      <c r="H15" s="1282" t="s">
        <v>428</v>
      </c>
      <c r="I15" s="1289">
        <f>I11</f>
        <v>12</v>
      </c>
      <c r="J15" s="1282" t="s">
        <v>160</v>
      </c>
      <c r="K15" s="1308" t="str">
        <f t="shared" ref="K15" si="2">E15</f>
        <v>×</v>
      </c>
      <c r="L15" s="1296" t="s">
        <v>434</v>
      </c>
      <c r="M15" s="1292" t="e">
        <f t="shared" ref="M15" si="3">C15*E15+G15*I15*K15</f>
        <v>#VALUE!</v>
      </c>
    </row>
    <row r="16" spans="1:13">
      <c r="A16" s="1277"/>
      <c r="B16" s="1274"/>
      <c r="C16" s="1280"/>
      <c r="D16" s="1282"/>
      <c r="E16" s="1309"/>
      <c r="F16" s="1282"/>
      <c r="G16" s="1284"/>
      <c r="H16" s="1282"/>
      <c r="I16" s="1290"/>
      <c r="J16" s="1282"/>
      <c r="K16" s="1309"/>
      <c r="L16" s="1282"/>
      <c r="M16" s="1292"/>
    </row>
    <row r="17" spans="1:13">
      <c r="A17" s="1277"/>
      <c r="B17" s="1274"/>
      <c r="C17" s="1280"/>
      <c r="D17" s="1282"/>
      <c r="E17" s="1309"/>
      <c r="F17" s="1282"/>
      <c r="G17" s="1284"/>
      <c r="H17" s="1282"/>
      <c r="I17" s="1290"/>
      <c r="J17" s="1282"/>
      <c r="K17" s="1309"/>
      <c r="L17" s="1282"/>
      <c r="M17" s="1292"/>
    </row>
    <row r="18" spans="1:13">
      <c r="A18" s="1277"/>
      <c r="B18" s="1275"/>
      <c r="C18" s="1281"/>
      <c r="D18" s="1282"/>
      <c r="E18" s="1310"/>
      <c r="F18" s="1282"/>
      <c r="G18" s="1285"/>
      <c r="H18" s="1282"/>
      <c r="I18" s="1291"/>
      <c r="J18" s="1282"/>
      <c r="K18" s="1310"/>
      <c r="L18" s="1282"/>
      <c r="M18" s="1292"/>
    </row>
    <row r="19" spans="1:13" ht="13.5" customHeight="1">
      <c r="A19" s="1276" t="s">
        <v>165</v>
      </c>
      <c r="B19" s="1273">
        <v>41</v>
      </c>
      <c r="C19" s="1279">
        <v>8260</v>
      </c>
      <c r="D19" s="1282" t="s">
        <v>1232</v>
      </c>
      <c r="E19" s="1308" t="str">
        <f>E15</f>
        <v>×</v>
      </c>
      <c r="F19" s="1282" t="s">
        <v>160</v>
      </c>
      <c r="G19" s="1283">
        <v>80</v>
      </c>
      <c r="H19" s="1282" t="s">
        <v>428</v>
      </c>
      <c r="I19" s="1289">
        <f>I15</f>
        <v>12</v>
      </c>
      <c r="J19" s="1282" t="s">
        <v>160</v>
      </c>
      <c r="K19" s="1308" t="str">
        <f t="shared" ref="K19" si="4">E19</f>
        <v>×</v>
      </c>
      <c r="L19" s="1296" t="s">
        <v>434</v>
      </c>
      <c r="M19" s="1292" t="e">
        <f t="shared" ref="M19" si="5">C19*E19+G19*I19*K19</f>
        <v>#VALUE!</v>
      </c>
    </row>
    <row r="20" spans="1:13">
      <c r="A20" s="1277"/>
      <c r="B20" s="1274"/>
      <c r="C20" s="1280"/>
      <c r="D20" s="1282"/>
      <c r="E20" s="1309"/>
      <c r="F20" s="1282"/>
      <c r="G20" s="1284"/>
      <c r="H20" s="1282"/>
      <c r="I20" s="1290"/>
      <c r="J20" s="1282"/>
      <c r="K20" s="1309"/>
      <c r="L20" s="1282"/>
      <c r="M20" s="1292"/>
    </row>
    <row r="21" spans="1:13">
      <c r="A21" s="1277"/>
      <c r="B21" s="1274"/>
      <c r="C21" s="1280"/>
      <c r="D21" s="1282"/>
      <c r="E21" s="1309"/>
      <c r="F21" s="1282"/>
      <c r="G21" s="1284"/>
      <c r="H21" s="1282"/>
      <c r="I21" s="1290"/>
      <c r="J21" s="1282"/>
      <c r="K21" s="1309"/>
      <c r="L21" s="1282"/>
      <c r="M21" s="1292"/>
    </row>
    <row r="22" spans="1:13">
      <c r="A22" s="1277"/>
      <c r="B22" s="1275"/>
      <c r="C22" s="1281"/>
      <c r="D22" s="1282"/>
      <c r="E22" s="1310"/>
      <c r="F22" s="1282"/>
      <c r="G22" s="1285"/>
      <c r="H22" s="1282"/>
      <c r="I22" s="1291"/>
      <c r="J22" s="1282"/>
      <c r="K22" s="1310"/>
      <c r="L22" s="1282"/>
      <c r="M22" s="1292"/>
    </row>
    <row r="23" spans="1:13" ht="13.5" customHeight="1">
      <c r="A23" s="1276" t="s">
        <v>166</v>
      </c>
      <c r="B23" s="1273">
        <v>51</v>
      </c>
      <c r="C23" s="1279">
        <v>6880</v>
      </c>
      <c r="D23" s="1282" t="s">
        <v>1232</v>
      </c>
      <c r="E23" s="1308" t="str">
        <f t="shared" ref="E23" si="6">E19</f>
        <v>×</v>
      </c>
      <c r="F23" s="1282" t="s">
        <v>160</v>
      </c>
      <c r="G23" s="1283">
        <v>60</v>
      </c>
      <c r="H23" s="1282" t="s">
        <v>428</v>
      </c>
      <c r="I23" s="1289">
        <f t="shared" ref="I23" si="7">I19</f>
        <v>12</v>
      </c>
      <c r="J23" s="1282" t="s">
        <v>160</v>
      </c>
      <c r="K23" s="1308" t="str">
        <f t="shared" ref="K23" si="8">E23</f>
        <v>×</v>
      </c>
      <c r="L23" s="1296" t="s">
        <v>434</v>
      </c>
      <c r="M23" s="1292" t="e">
        <f t="shared" ref="M23" si="9">C23*E23+G23*I23*K23</f>
        <v>#VALUE!</v>
      </c>
    </row>
    <row r="24" spans="1:13">
      <c r="A24" s="1277"/>
      <c r="B24" s="1274"/>
      <c r="C24" s="1280"/>
      <c r="D24" s="1282"/>
      <c r="E24" s="1309"/>
      <c r="F24" s="1282"/>
      <c r="G24" s="1284"/>
      <c r="H24" s="1282"/>
      <c r="I24" s="1290"/>
      <c r="J24" s="1282"/>
      <c r="K24" s="1309"/>
      <c r="L24" s="1282"/>
      <c r="M24" s="1292"/>
    </row>
    <row r="25" spans="1:13">
      <c r="A25" s="1277"/>
      <c r="B25" s="1274"/>
      <c r="C25" s="1280"/>
      <c r="D25" s="1282"/>
      <c r="E25" s="1309"/>
      <c r="F25" s="1282"/>
      <c r="G25" s="1284"/>
      <c r="H25" s="1282"/>
      <c r="I25" s="1290"/>
      <c r="J25" s="1282"/>
      <c r="K25" s="1309"/>
      <c r="L25" s="1282"/>
      <c r="M25" s="1292"/>
    </row>
    <row r="26" spans="1:13">
      <c r="A26" s="1277"/>
      <c r="B26" s="1275"/>
      <c r="C26" s="1281"/>
      <c r="D26" s="1282"/>
      <c r="E26" s="1310"/>
      <c r="F26" s="1282"/>
      <c r="G26" s="1285"/>
      <c r="H26" s="1282"/>
      <c r="I26" s="1291"/>
      <c r="J26" s="1282"/>
      <c r="K26" s="1310"/>
      <c r="L26" s="1282"/>
      <c r="M26" s="1292"/>
    </row>
    <row r="27" spans="1:13" ht="13.5" customHeight="1">
      <c r="A27" s="1276" t="s">
        <v>167</v>
      </c>
      <c r="B27" s="1273">
        <v>61</v>
      </c>
      <c r="C27" s="1279">
        <v>5900</v>
      </c>
      <c r="D27" s="1282" t="s">
        <v>1232</v>
      </c>
      <c r="E27" s="1308" t="str">
        <f t="shared" ref="E27" si="10">E23</f>
        <v>×</v>
      </c>
      <c r="F27" s="1282" t="s">
        <v>160</v>
      </c>
      <c r="G27" s="1283">
        <v>50</v>
      </c>
      <c r="H27" s="1282" t="s">
        <v>428</v>
      </c>
      <c r="I27" s="1289">
        <f t="shared" ref="I27" si="11">I23</f>
        <v>12</v>
      </c>
      <c r="J27" s="1282" t="s">
        <v>160</v>
      </c>
      <c r="K27" s="1308" t="str">
        <f t="shared" ref="K27" si="12">E27</f>
        <v>×</v>
      </c>
      <c r="L27" s="1296" t="s">
        <v>434</v>
      </c>
      <c r="M27" s="1292" t="e">
        <f t="shared" ref="M27" si="13">C27*E27+G27*I27*K27</f>
        <v>#VALUE!</v>
      </c>
    </row>
    <row r="28" spans="1:13">
      <c r="A28" s="1277"/>
      <c r="B28" s="1274"/>
      <c r="C28" s="1280"/>
      <c r="D28" s="1282"/>
      <c r="E28" s="1309"/>
      <c r="F28" s="1282"/>
      <c r="G28" s="1284"/>
      <c r="H28" s="1282"/>
      <c r="I28" s="1290"/>
      <c r="J28" s="1282"/>
      <c r="K28" s="1309"/>
      <c r="L28" s="1282"/>
      <c r="M28" s="1292"/>
    </row>
    <row r="29" spans="1:13">
      <c r="A29" s="1277"/>
      <c r="B29" s="1274"/>
      <c r="C29" s="1280"/>
      <c r="D29" s="1282"/>
      <c r="E29" s="1309"/>
      <c r="F29" s="1282"/>
      <c r="G29" s="1284"/>
      <c r="H29" s="1282"/>
      <c r="I29" s="1290"/>
      <c r="J29" s="1282"/>
      <c r="K29" s="1309"/>
      <c r="L29" s="1282"/>
      <c r="M29" s="1292"/>
    </row>
    <row r="30" spans="1:13">
      <c r="A30" s="1277"/>
      <c r="B30" s="1275"/>
      <c r="C30" s="1281"/>
      <c r="D30" s="1282"/>
      <c r="E30" s="1310"/>
      <c r="F30" s="1282"/>
      <c r="G30" s="1285"/>
      <c r="H30" s="1282"/>
      <c r="I30" s="1291"/>
      <c r="J30" s="1282"/>
      <c r="K30" s="1310"/>
      <c r="L30" s="1282"/>
      <c r="M30" s="1292"/>
    </row>
    <row r="31" spans="1:13" ht="13.5" customHeight="1">
      <c r="A31" s="1276" t="s">
        <v>168</v>
      </c>
      <c r="B31" s="1273">
        <v>71</v>
      </c>
      <c r="C31" s="1279">
        <v>5160</v>
      </c>
      <c r="D31" s="1282" t="s">
        <v>1232</v>
      </c>
      <c r="E31" s="1308" t="str">
        <f t="shared" ref="E31" si="14">E27</f>
        <v>×</v>
      </c>
      <c r="F31" s="1282" t="s">
        <v>160</v>
      </c>
      <c r="G31" s="1283">
        <v>50</v>
      </c>
      <c r="H31" s="1282" t="s">
        <v>428</v>
      </c>
      <c r="I31" s="1289">
        <f t="shared" ref="I31" si="15">I27</f>
        <v>12</v>
      </c>
      <c r="J31" s="1282" t="s">
        <v>160</v>
      </c>
      <c r="K31" s="1308" t="str">
        <f t="shared" ref="K31" si="16">E31</f>
        <v>×</v>
      </c>
      <c r="L31" s="1296" t="s">
        <v>434</v>
      </c>
      <c r="M31" s="1292" t="e">
        <f t="shared" ref="M31" si="17">C31*E31+G31*I31*K31</f>
        <v>#VALUE!</v>
      </c>
    </row>
    <row r="32" spans="1:13">
      <c r="A32" s="1277"/>
      <c r="B32" s="1274"/>
      <c r="C32" s="1280"/>
      <c r="D32" s="1282"/>
      <c r="E32" s="1309"/>
      <c r="F32" s="1282"/>
      <c r="G32" s="1284"/>
      <c r="H32" s="1282"/>
      <c r="I32" s="1290"/>
      <c r="J32" s="1282"/>
      <c r="K32" s="1309"/>
      <c r="L32" s="1282"/>
      <c r="M32" s="1292"/>
    </row>
    <row r="33" spans="1:13">
      <c r="A33" s="1277"/>
      <c r="B33" s="1274"/>
      <c r="C33" s="1280"/>
      <c r="D33" s="1282"/>
      <c r="E33" s="1309"/>
      <c r="F33" s="1282"/>
      <c r="G33" s="1284"/>
      <c r="H33" s="1282"/>
      <c r="I33" s="1290"/>
      <c r="J33" s="1282"/>
      <c r="K33" s="1309"/>
      <c r="L33" s="1282"/>
      <c r="M33" s="1292"/>
    </row>
    <row r="34" spans="1:13">
      <c r="A34" s="1277"/>
      <c r="B34" s="1275"/>
      <c r="C34" s="1281"/>
      <c r="D34" s="1282"/>
      <c r="E34" s="1310"/>
      <c r="F34" s="1282"/>
      <c r="G34" s="1285"/>
      <c r="H34" s="1282"/>
      <c r="I34" s="1291"/>
      <c r="J34" s="1282"/>
      <c r="K34" s="1310"/>
      <c r="L34" s="1282"/>
      <c r="M34" s="1292"/>
    </row>
    <row r="35" spans="1:13" ht="13.5" customHeight="1">
      <c r="A35" s="1276" t="s">
        <v>169</v>
      </c>
      <c r="B35" s="1273">
        <v>81</v>
      </c>
      <c r="C35" s="1279">
        <v>4580</v>
      </c>
      <c r="D35" s="1282" t="s">
        <v>1232</v>
      </c>
      <c r="E35" s="1308" t="str">
        <f t="shared" ref="E35" si="18">E31</f>
        <v>×</v>
      </c>
      <c r="F35" s="1282" t="s">
        <v>160</v>
      </c>
      <c r="G35" s="1283">
        <v>40</v>
      </c>
      <c r="H35" s="1282" t="s">
        <v>428</v>
      </c>
      <c r="I35" s="1289">
        <f t="shared" ref="I35" si="19">I31</f>
        <v>12</v>
      </c>
      <c r="J35" s="1282" t="s">
        <v>160</v>
      </c>
      <c r="K35" s="1308" t="str">
        <f t="shared" ref="K35" si="20">E35</f>
        <v>×</v>
      </c>
      <c r="L35" s="1296" t="s">
        <v>434</v>
      </c>
      <c r="M35" s="1292" t="e">
        <f t="shared" ref="M35" si="21">C35*E35+G35*I35*K35</f>
        <v>#VALUE!</v>
      </c>
    </row>
    <row r="36" spans="1:13">
      <c r="A36" s="1277"/>
      <c r="B36" s="1274"/>
      <c r="C36" s="1280"/>
      <c r="D36" s="1282"/>
      <c r="E36" s="1309"/>
      <c r="F36" s="1282"/>
      <c r="G36" s="1284"/>
      <c r="H36" s="1282"/>
      <c r="I36" s="1290"/>
      <c r="J36" s="1282"/>
      <c r="K36" s="1309"/>
      <c r="L36" s="1282"/>
      <c r="M36" s="1292"/>
    </row>
    <row r="37" spans="1:13">
      <c r="A37" s="1277"/>
      <c r="B37" s="1274"/>
      <c r="C37" s="1280"/>
      <c r="D37" s="1282"/>
      <c r="E37" s="1309"/>
      <c r="F37" s="1282"/>
      <c r="G37" s="1284"/>
      <c r="H37" s="1282"/>
      <c r="I37" s="1290"/>
      <c r="J37" s="1282"/>
      <c r="K37" s="1309"/>
      <c r="L37" s="1282"/>
      <c r="M37" s="1292"/>
    </row>
    <row r="38" spans="1:13">
      <c r="A38" s="1277"/>
      <c r="B38" s="1275"/>
      <c r="C38" s="1281"/>
      <c r="D38" s="1282"/>
      <c r="E38" s="1310"/>
      <c r="F38" s="1282"/>
      <c r="G38" s="1285"/>
      <c r="H38" s="1282"/>
      <c r="I38" s="1291"/>
      <c r="J38" s="1282"/>
      <c r="K38" s="1310"/>
      <c r="L38" s="1282"/>
      <c r="M38" s="1292"/>
    </row>
    <row r="39" spans="1:13" ht="13.5" customHeight="1">
      <c r="A39" s="1276" t="s">
        <v>170</v>
      </c>
      <c r="B39" s="1273">
        <v>91</v>
      </c>
      <c r="C39" s="1279">
        <v>4130</v>
      </c>
      <c r="D39" s="1282" t="s">
        <v>1232</v>
      </c>
      <c r="E39" s="1308" t="str">
        <f t="shared" ref="E39" si="22">E35</f>
        <v>×</v>
      </c>
      <c r="F39" s="1282" t="s">
        <v>160</v>
      </c>
      <c r="G39" s="1283">
        <v>40</v>
      </c>
      <c r="H39" s="1282" t="s">
        <v>428</v>
      </c>
      <c r="I39" s="1289">
        <f t="shared" ref="I39" si="23">I35</f>
        <v>12</v>
      </c>
      <c r="J39" s="1282" t="s">
        <v>160</v>
      </c>
      <c r="K39" s="1308" t="str">
        <f t="shared" ref="K39" si="24">E39</f>
        <v>×</v>
      </c>
      <c r="L39" s="1296" t="s">
        <v>434</v>
      </c>
      <c r="M39" s="1292" t="e">
        <f t="shared" ref="M39" si="25">C39*E39+G39*I39*K39</f>
        <v>#VALUE!</v>
      </c>
    </row>
    <row r="40" spans="1:13">
      <c r="A40" s="1277"/>
      <c r="B40" s="1274"/>
      <c r="C40" s="1280"/>
      <c r="D40" s="1282"/>
      <c r="E40" s="1309"/>
      <c r="F40" s="1282"/>
      <c r="G40" s="1284"/>
      <c r="H40" s="1282"/>
      <c r="I40" s="1290"/>
      <c r="J40" s="1282"/>
      <c r="K40" s="1309"/>
      <c r="L40" s="1282"/>
      <c r="M40" s="1292"/>
    </row>
    <row r="41" spans="1:13">
      <c r="A41" s="1277"/>
      <c r="B41" s="1274"/>
      <c r="C41" s="1280"/>
      <c r="D41" s="1282"/>
      <c r="E41" s="1309"/>
      <c r="F41" s="1282"/>
      <c r="G41" s="1284"/>
      <c r="H41" s="1282"/>
      <c r="I41" s="1290"/>
      <c r="J41" s="1282"/>
      <c r="K41" s="1309"/>
      <c r="L41" s="1282"/>
      <c r="M41" s="1292"/>
    </row>
    <row r="42" spans="1:13">
      <c r="A42" s="1277"/>
      <c r="B42" s="1275"/>
      <c r="C42" s="1281"/>
      <c r="D42" s="1282"/>
      <c r="E42" s="1310"/>
      <c r="F42" s="1282"/>
      <c r="G42" s="1285"/>
      <c r="H42" s="1282"/>
      <c r="I42" s="1291"/>
      <c r="J42" s="1282"/>
      <c r="K42" s="1310"/>
      <c r="L42" s="1282"/>
      <c r="M42" s="1292"/>
    </row>
    <row r="43" spans="1:13" ht="13.5" customHeight="1">
      <c r="A43" s="1276" t="s">
        <v>171</v>
      </c>
      <c r="B43" s="1273">
        <v>101</v>
      </c>
      <c r="C43" s="1279">
        <v>3750</v>
      </c>
      <c r="D43" s="1282" t="s">
        <v>1232</v>
      </c>
      <c r="E43" s="1308" t="str">
        <f t="shared" ref="E43" si="26">E39</f>
        <v>×</v>
      </c>
      <c r="F43" s="1282" t="s">
        <v>160</v>
      </c>
      <c r="G43" s="1283">
        <v>30</v>
      </c>
      <c r="H43" s="1282" t="s">
        <v>428</v>
      </c>
      <c r="I43" s="1289">
        <f t="shared" ref="I43" si="27">I39</f>
        <v>12</v>
      </c>
      <c r="J43" s="1282" t="s">
        <v>160</v>
      </c>
      <c r="K43" s="1308" t="str">
        <f t="shared" ref="K43" si="28">E43</f>
        <v>×</v>
      </c>
      <c r="L43" s="1296" t="s">
        <v>434</v>
      </c>
      <c r="M43" s="1292" t="e">
        <f t="shared" ref="M43" si="29">C43*E43+G43*I43*K43</f>
        <v>#VALUE!</v>
      </c>
    </row>
    <row r="44" spans="1:13">
      <c r="A44" s="1277"/>
      <c r="B44" s="1274"/>
      <c r="C44" s="1280"/>
      <c r="D44" s="1282"/>
      <c r="E44" s="1309"/>
      <c r="F44" s="1282"/>
      <c r="G44" s="1284"/>
      <c r="H44" s="1282"/>
      <c r="I44" s="1290"/>
      <c r="J44" s="1282"/>
      <c r="K44" s="1309"/>
      <c r="L44" s="1282"/>
      <c r="M44" s="1292"/>
    </row>
    <row r="45" spans="1:13">
      <c r="A45" s="1277"/>
      <c r="B45" s="1274"/>
      <c r="C45" s="1280"/>
      <c r="D45" s="1282"/>
      <c r="E45" s="1309"/>
      <c r="F45" s="1282"/>
      <c r="G45" s="1284"/>
      <c r="H45" s="1282"/>
      <c r="I45" s="1290"/>
      <c r="J45" s="1282"/>
      <c r="K45" s="1309"/>
      <c r="L45" s="1282"/>
      <c r="M45" s="1292"/>
    </row>
    <row r="46" spans="1:13">
      <c r="A46" s="1277"/>
      <c r="B46" s="1275"/>
      <c r="C46" s="1281"/>
      <c r="D46" s="1282"/>
      <c r="E46" s="1310"/>
      <c r="F46" s="1282"/>
      <c r="G46" s="1285"/>
      <c r="H46" s="1282"/>
      <c r="I46" s="1291"/>
      <c r="J46" s="1282"/>
      <c r="K46" s="1310"/>
      <c r="L46" s="1282"/>
      <c r="M46" s="1292"/>
    </row>
    <row r="47" spans="1:13" ht="13.5" customHeight="1">
      <c r="A47" s="1276" t="s">
        <v>172</v>
      </c>
      <c r="B47" s="1273">
        <v>111</v>
      </c>
      <c r="C47" s="1279">
        <v>3440</v>
      </c>
      <c r="D47" s="1282" t="s">
        <v>1232</v>
      </c>
      <c r="E47" s="1308" t="str">
        <f t="shared" ref="E47" si="30">E43</f>
        <v>×</v>
      </c>
      <c r="F47" s="1282" t="s">
        <v>160</v>
      </c>
      <c r="G47" s="1283">
        <v>30</v>
      </c>
      <c r="H47" s="1282" t="s">
        <v>428</v>
      </c>
      <c r="I47" s="1289">
        <f t="shared" ref="I47" si="31">I43</f>
        <v>12</v>
      </c>
      <c r="J47" s="1282" t="s">
        <v>160</v>
      </c>
      <c r="K47" s="1308" t="str">
        <f t="shared" ref="K47" si="32">E47</f>
        <v>×</v>
      </c>
      <c r="L47" s="1296" t="s">
        <v>434</v>
      </c>
      <c r="M47" s="1292" t="e">
        <f t="shared" ref="M47" si="33">C47*E47+G47*I47*K47</f>
        <v>#VALUE!</v>
      </c>
    </row>
    <row r="48" spans="1:13">
      <c r="A48" s="1277"/>
      <c r="B48" s="1274"/>
      <c r="C48" s="1280"/>
      <c r="D48" s="1282"/>
      <c r="E48" s="1309"/>
      <c r="F48" s="1282"/>
      <c r="G48" s="1284"/>
      <c r="H48" s="1282"/>
      <c r="I48" s="1290"/>
      <c r="J48" s="1282"/>
      <c r="K48" s="1309"/>
      <c r="L48" s="1282"/>
      <c r="M48" s="1292"/>
    </row>
    <row r="49" spans="1:13">
      <c r="A49" s="1277"/>
      <c r="B49" s="1274"/>
      <c r="C49" s="1280"/>
      <c r="D49" s="1282"/>
      <c r="E49" s="1309"/>
      <c r="F49" s="1282"/>
      <c r="G49" s="1284"/>
      <c r="H49" s="1282"/>
      <c r="I49" s="1290"/>
      <c r="J49" s="1282"/>
      <c r="K49" s="1309"/>
      <c r="L49" s="1282"/>
      <c r="M49" s="1292"/>
    </row>
    <row r="50" spans="1:13">
      <c r="A50" s="1277"/>
      <c r="B50" s="1275"/>
      <c r="C50" s="1281"/>
      <c r="D50" s="1282"/>
      <c r="E50" s="1310"/>
      <c r="F50" s="1282"/>
      <c r="G50" s="1285"/>
      <c r="H50" s="1282"/>
      <c r="I50" s="1291"/>
      <c r="J50" s="1282"/>
      <c r="K50" s="1310"/>
      <c r="L50" s="1282"/>
      <c r="M50" s="1292"/>
    </row>
    <row r="51" spans="1:13" ht="13.5" customHeight="1">
      <c r="A51" s="1276" t="s">
        <v>173</v>
      </c>
      <c r="B51" s="1273">
        <v>121</v>
      </c>
      <c r="C51" s="1279">
        <v>3170</v>
      </c>
      <c r="D51" s="1282" t="s">
        <v>1232</v>
      </c>
      <c r="E51" s="1308" t="str">
        <f t="shared" ref="E51" si="34">E47</f>
        <v>×</v>
      </c>
      <c r="F51" s="1282" t="s">
        <v>160</v>
      </c>
      <c r="G51" s="1283">
        <v>30</v>
      </c>
      <c r="H51" s="1282" t="s">
        <v>428</v>
      </c>
      <c r="I51" s="1289">
        <f t="shared" ref="I51" si="35">I47</f>
        <v>12</v>
      </c>
      <c r="J51" s="1282" t="s">
        <v>160</v>
      </c>
      <c r="K51" s="1308" t="str">
        <f t="shared" ref="K51" si="36">E51</f>
        <v>×</v>
      </c>
      <c r="L51" s="1296" t="s">
        <v>434</v>
      </c>
      <c r="M51" s="1292" t="e">
        <f t="shared" ref="M51" si="37">C51*E51+G51*I51*K51</f>
        <v>#VALUE!</v>
      </c>
    </row>
    <row r="52" spans="1:13">
      <c r="A52" s="1277"/>
      <c r="B52" s="1274"/>
      <c r="C52" s="1280"/>
      <c r="D52" s="1282"/>
      <c r="E52" s="1309"/>
      <c r="F52" s="1282"/>
      <c r="G52" s="1284"/>
      <c r="H52" s="1282"/>
      <c r="I52" s="1290"/>
      <c r="J52" s="1282"/>
      <c r="K52" s="1309"/>
      <c r="L52" s="1282"/>
      <c r="M52" s="1292"/>
    </row>
    <row r="53" spans="1:13">
      <c r="A53" s="1277"/>
      <c r="B53" s="1274"/>
      <c r="C53" s="1280"/>
      <c r="D53" s="1282"/>
      <c r="E53" s="1309"/>
      <c r="F53" s="1282"/>
      <c r="G53" s="1284"/>
      <c r="H53" s="1282"/>
      <c r="I53" s="1290"/>
      <c r="J53" s="1282"/>
      <c r="K53" s="1309"/>
      <c r="L53" s="1282"/>
      <c r="M53" s="1292"/>
    </row>
    <row r="54" spans="1:13">
      <c r="A54" s="1277"/>
      <c r="B54" s="1275"/>
      <c r="C54" s="1281"/>
      <c r="D54" s="1282"/>
      <c r="E54" s="1310"/>
      <c r="F54" s="1282"/>
      <c r="G54" s="1285"/>
      <c r="H54" s="1282"/>
      <c r="I54" s="1291"/>
      <c r="J54" s="1282"/>
      <c r="K54" s="1310"/>
      <c r="L54" s="1282"/>
      <c r="M54" s="1292"/>
    </row>
    <row r="55" spans="1:13" ht="13.5" customHeight="1">
      <c r="A55" s="1276" t="s">
        <v>174</v>
      </c>
      <c r="B55" s="1273">
        <v>131</v>
      </c>
      <c r="C55" s="1279">
        <v>2950</v>
      </c>
      <c r="D55" s="1282" t="s">
        <v>1232</v>
      </c>
      <c r="E55" s="1308" t="str">
        <f t="shared" ref="E55" si="38">E51</f>
        <v>×</v>
      </c>
      <c r="F55" s="1282" t="s">
        <v>160</v>
      </c>
      <c r="G55" s="1283">
        <v>20</v>
      </c>
      <c r="H55" s="1282" t="s">
        <v>428</v>
      </c>
      <c r="I55" s="1289">
        <f t="shared" ref="I55" si="39">I51</f>
        <v>12</v>
      </c>
      <c r="J55" s="1282" t="s">
        <v>160</v>
      </c>
      <c r="K55" s="1308" t="str">
        <f t="shared" ref="K55" si="40">E55</f>
        <v>×</v>
      </c>
      <c r="L55" s="1296" t="s">
        <v>434</v>
      </c>
      <c r="M55" s="1292" t="e">
        <f t="shared" ref="M55" si="41">C55*E55+G55*I55*K55</f>
        <v>#VALUE!</v>
      </c>
    </row>
    <row r="56" spans="1:13">
      <c r="A56" s="1277"/>
      <c r="B56" s="1274"/>
      <c r="C56" s="1280"/>
      <c r="D56" s="1282"/>
      <c r="E56" s="1309"/>
      <c r="F56" s="1282"/>
      <c r="G56" s="1284"/>
      <c r="H56" s="1282"/>
      <c r="I56" s="1290"/>
      <c r="J56" s="1282"/>
      <c r="K56" s="1309"/>
      <c r="L56" s="1282"/>
      <c r="M56" s="1292"/>
    </row>
    <row r="57" spans="1:13">
      <c r="A57" s="1277"/>
      <c r="B57" s="1274"/>
      <c r="C57" s="1280"/>
      <c r="D57" s="1282"/>
      <c r="E57" s="1309"/>
      <c r="F57" s="1282"/>
      <c r="G57" s="1284"/>
      <c r="H57" s="1282"/>
      <c r="I57" s="1290"/>
      <c r="J57" s="1282"/>
      <c r="K57" s="1309"/>
      <c r="L57" s="1282"/>
      <c r="M57" s="1292"/>
    </row>
    <row r="58" spans="1:13">
      <c r="A58" s="1277"/>
      <c r="B58" s="1275"/>
      <c r="C58" s="1281"/>
      <c r="D58" s="1282"/>
      <c r="E58" s="1310"/>
      <c r="F58" s="1282"/>
      <c r="G58" s="1285"/>
      <c r="H58" s="1282"/>
      <c r="I58" s="1291"/>
      <c r="J58" s="1282"/>
      <c r="K58" s="1310"/>
      <c r="L58" s="1282"/>
      <c r="M58" s="1292"/>
    </row>
    <row r="59" spans="1:13" ht="13.5" customHeight="1">
      <c r="A59" s="1276" t="s">
        <v>175</v>
      </c>
      <c r="B59" s="1273">
        <v>141</v>
      </c>
      <c r="C59" s="1279">
        <v>2750</v>
      </c>
      <c r="D59" s="1282" t="s">
        <v>1232</v>
      </c>
      <c r="E59" s="1308" t="str">
        <f t="shared" ref="E59" si="42">E55</f>
        <v>×</v>
      </c>
      <c r="F59" s="1282" t="s">
        <v>160</v>
      </c>
      <c r="G59" s="1283">
        <v>20</v>
      </c>
      <c r="H59" s="1282" t="s">
        <v>428</v>
      </c>
      <c r="I59" s="1289">
        <f t="shared" ref="I59" si="43">I55</f>
        <v>12</v>
      </c>
      <c r="J59" s="1282" t="s">
        <v>160</v>
      </c>
      <c r="K59" s="1308" t="str">
        <f t="shared" ref="K59" si="44">E59</f>
        <v>×</v>
      </c>
      <c r="L59" s="1296" t="s">
        <v>434</v>
      </c>
      <c r="M59" s="1292" t="e">
        <f t="shared" ref="M59" si="45">C59*E59+G59*I59*K59</f>
        <v>#VALUE!</v>
      </c>
    </row>
    <row r="60" spans="1:13">
      <c r="A60" s="1277"/>
      <c r="B60" s="1274"/>
      <c r="C60" s="1280"/>
      <c r="D60" s="1282"/>
      <c r="E60" s="1309"/>
      <c r="F60" s="1282"/>
      <c r="G60" s="1284"/>
      <c r="H60" s="1282"/>
      <c r="I60" s="1290"/>
      <c r="J60" s="1282"/>
      <c r="K60" s="1309"/>
      <c r="L60" s="1282"/>
      <c r="M60" s="1292"/>
    </row>
    <row r="61" spans="1:13">
      <c r="A61" s="1277"/>
      <c r="B61" s="1274"/>
      <c r="C61" s="1280"/>
      <c r="D61" s="1282"/>
      <c r="E61" s="1309"/>
      <c r="F61" s="1282"/>
      <c r="G61" s="1284"/>
      <c r="H61" s="1282"/>
      <c r="I61" s="1290"/>
      <c r="J61" s="1282"/>
      <c r="K61" s="1309"/>
      <c r="L61" s="1282"/>
      <c r="M61" s="1292"/>
    </row>
    <row r="62" spans="1:13">
      <c r="A62" s="1277"/>
      <c r="B62" s="1275"/>
      <c r="C62" s="1281"/>
      <c r="D62" s="1282"/>
      <c r="E62" s="1310"/>
      <c r="F62" s="1282"/>
      <c r="G62" s="1285"/>
      <c r="H62" s="1282"/>
      <c r="I62" s="1291"/>
      <c r="J62" s="1282"/>
      <c r="K62" s="1310"/>
      <c r="L62" s="1282"/>
      <c r="M62" s="1292"/>
    </row>
    <row r="63" spans="1:13" ht="13.5" customHeight="1">
      <c r="A63" s="1276" t="s">
        <v>176</v>
      </c>
      <c r="B63" s="1273">
        <v>151</v>
      </c>
      <c r="C63" s="1279">
        <v>2580</v>
      </c>
      <c r="D63" s="1282" t="s">
        <v>1232</v>
      </c>
      <c r="E63" s="1308" t="str">
        <f t="shared" ref="E63" si="46">E59</f>
        <v>×</v>
      </c>
      <c r="F63" s="1282" t="s">
        <v>160</v>
      </c>
      <c r="G63" s="1283">
        <v>20</v>
      </c>
      <c r="H63" s="1282" t="s">
        <v>428</v>
      </c>
      <c r="I63" s="1289">
        <f t="shared" ref="I63" si="47">I59</f>
        <v>12</v>
      </c>
      <c r="J63" s="1282" t="s">
        <v>160</v>
      </c>
      <c r="K63" s="1308" t="str">
        <f t="shared" ref="K63" si="48">E63</f>
        <v>×</v>
      </c>
      <c r="L63" s="1296" t="s">
        <v>434</v>
      </c>
      <c r="M63" s="1292" t="e">
        <f t="shared" ref="M63" si="49">C63*E63+G63*I63*K63</f>
        <v>#VALUE!</v>
      </c>
    </row>
    <row r="64" spans="1:13">
      <c r="A64" s="1277"/>
      <c r="B64" s="1274"/>
      <c r="C64" s="1280"/>
      <c r="D64" s="1282"/>
      <c r="E64" s="1309"/>
      <c r="F64" s="1282"/>
      <c r="G64" s="1284"/>
      <c r="H64" s="1282"/>
      <c r="I64" s="1290"/>
      <c r="J64" s="1282"/>
      <c r="K64" s="1309"/>
      <c r="L64" s="1282"/>
      <c r="M64" s="1292"/>
    </row>
    <row r="65" spans="1:13">
      <c r="A65" s="1277"/>
      <c r="B65" s="1274"/>
      <c r="C65" s="1280"/>
      <c r="D65" s="1282"/>
      <c r="E65" s="1309"/>
      <c r="F65" s="1282"/>
      <c r="G65" s="1284"/>
      <c r="H65" s="1282"/>
      <c r="I65" s="1290"/>
      <c r="J65" s="1282"/>
      <c r="K65" s="1309"/>
      <c r="L65" s="1282"/>
      <c r="M65" s="1292"/>
    </row>
    <row r="66" spans="1:13">
      <c r="A66" s="1277"/>
      <c r="B66" s="1275"/>
      <c r="C66" s="1281"/>
      <c r="D66" s="1282"/>
      <c r="E66" s="1310"/>
      <c r="F66" s="1282"/>
      <c r="G66" s="1285"/>
      <c r="H66" s="1282"/>
      <c r="I66" s="1291"/>
      <c r="J66" s="1282"/>
      <c r="K66" s="1310"/>
      <c r="L66" s="1282"/>
      <c r="M66" s="1292"/>
    </row>
    <row r="67" spans="1:13" ht="13.5" customHeight="1">
      <c r="A67" s="1276" t="s">
        <v>177</v>
      </c>
      <c r="B67" s="1273">
        <v>161</v>
      </c>
      <c r="C67" s="1279">
        <v>2420</v>
      </c>
      <c r="D67" s="1282" t="s">
        <v>1232</v>
      </c>
      <c r="E67" s="1308" t="str">
        <f t="shared" ref="E67" si="50">E63</f>
        <v>×</v>
      </c>
      <c r="F67" s="1282" t="s">
        <v>160</v>
      </c>
      <c r="G67" s="1283">
        <v>20</v>
      </c>
      <c r="H67" s="1282" t="s">
        <v>428</v>
      </c>
      <c r="I67" s="1289">
        <f t="shared" ref="I67" si="51">I63</f>
        <v>12</v>
      </c>
      <c r="J67" s="1282" t="s">
        <v>160</v>
      </c>
      <c r="K67" s="1308" t="str">
        <f>E67</f>
        <v>×</v>
      </c>
      <c r="L67" s="1296" t="s">
        <v>434</v>
      </c>
      <c r="M67" s="1292" t="e">
        <f t="shared" ref="M67" si="52">C67*E67+G67*I67*K67</f>
        <v>#VALUE!</v>
      </c>
    </row>
    <row r="68" spans="1:13">
      <c r="A68" s="1277"/>
      <c r="B68" s="1274"/>
      <c r="C68" s="1280"/>
      <c r="D68" s="1282"/>
      <c r="E68" s="1309"/>
      <c r="F68" s="1282"/>
      <c r="G68" s="1284"/>
      <c r="H68" s="1282"/>
      <c r="I68" s="1290"/>
      <c r="J68" s="1282"/>
      <c r="K68" s="1309"/>
      <c r="L68" s="1282"/>
      <c r="M68" s="1292"/>
    </row>
    <row r="69" spans="1:13">
      <c r="A69" s="1277"/>
      <c r="B69" s="1274"/>
      <c r="C69" s="1280"/>
      <c r="D69" s="1282"/>
      <c r="E69" s="1309"/>
      <c r="F69" s="1282"/>
      <c r="G69" s="1284"/>
      <c r="H69" s="1282"/>
      <c r="I69" s="1290"/>
      <c r="J69" s="1282"/>
      <c r="K69" s="1309"/>
      <c r="L69" s="1282"/>
      <c r="M69" s="1292"/>
    </row>
    <row r="70" spans="1:13">
      <c r="A70" s="1277"/>
      <c r="B70" s="1275"/>
      <c r="C70" s="1281"/>
      <c r="D70" s="1282"/>
      <c r="E70" s="1310"/>
      <c r="F70" s="1282"/>
      <c r="G70" s="1285"/>
      <c r="H70" s="1282"/>
      <c r="I70" s="1291"/>
      <c r="J70" s="1282"/>
      <c r="K70" s="1310"/>
      <c r="L70" s="1282"/>
      <c r="M70" s="1292"/>
    </row>
    <row r="71" spans="1:13" ht="13.5" customHeight="1">
      <c r="A71" s="1278" t="s">
        <v>178</v>
      </c>
      <c r="B71" s="1273">
        <v>17</v>
      </c>
      <c r="C71" s="1279">
        <v>2290</v>
      </c>
      <c r="D71" s="1282" t="s">
        <v>1232</v>
      </c>
      <c r="E71" s="1308" t="str">
        <f t="shared" ref="E71" si="53">E67</f>
        <v>×</v>
      </c>
      <c r="F71" s="1282" t="s">
        <v>160</v>
      </c>
      <c r="G71" s="1283">
        <v>20</v>
      </c>
      <c r="H71" s="1282" t="s">
        <v>428</v>
      </c>
      <c r="I71" s="1289">
        <f t="shared" ref="I71" si="54">I67</f>
        <v>12</v>
      </c>
      <c r="J71" s="1282" t="s">
        <v>160</v>
      </c>
      <c r="K71" s="1308" t="str">
        <f t="shared" ref="K71" si="55">E71</f>
        <v>×</v>
      </c>
      <c r="L71" s="1296" t="s">
        <v>434</v>
      </c>
      <c r="M71" s="1292" t="e">
        <f t="shared" ref="M71" si="56">C71*E71+G71*I71*K71</f>
        <v>#VALUE!</v>
      </c>
    </row>
    <row r="72" spans="1:13">
      <c r="A72" s="1277"/>
      <c r="B72" s="1274"/>
      <c r="C72" s="1280"/>
      <c r="D72" s="1282"/>
      <c r="E72" s="1309"/>
      <c r="F72" s="1282"/>
      <c r="G72" s="1284"/>
      <c r="H72" s="1282"/>
      <c r="I72" s="1290"/>
      <c r="J72" s="1282"/>
      <c r="K72" s="1309"/>
      <c r="L72" s="1282"/>
      <c r="M72" s="1292"/>
    </row>
    <row r="73" spans="1:13">
      <c r="A73" s="1277"/>
      <c r="B73" s="1274"/>
      <c r="C73" s="1280"/>
      <c r="D73" s="1282"/>
      <c r="E73" s="1309"/>
      <c r="F73" s="1282"/>
      <c r="G73" s="1284"/>
      <c r="H73" s="1282"/>
      <c r="I73" s="1290"/>
      <c r="J73" s="1282"/>
      <c r="K73" s="1309"/>
      <c r="L73" s="1282"/>
      <c r="M73" s="1292"/>
    </row>
    <row r="74" spans="1:13">
      <c r="A74" s="1277"/>
      <c r="B74" s="1275"/>
      <c r="C74" s="1281"/>
      <c r="D74" s="1282"/>
      <c r="E74" s="1310"/>
      <c r="F74" s="1282"/>
      <c r="G74" s="1285"/>
      <c r="H74" s="1282"/>
      <c r="I74" s="1291"/>
      <c r="J74" s="1282"/>
      <c r="K74" s="1310"/>
      <c r="L74" s="1282"/>
      <c r="M74" s="1292"/>
    </row>
  </sheetData>
  <sheetProtection algorithmName="SHA-512" hashValue="md+xzUDfIVAgWOujD6OSfmHqf9BFhCcaRVL+Kxeo6t8VMVwOmxdMirmKgJljyaCO3cSmFIzK2//GvsmHnPynGg==" saltValue="EpmQUtCTLw6qVKcn7gF4MQ==" spinCount="100000" sheet="1" objects="1" scenarios="1"/>
  <mergeCells count="229">
    <mergeCell ref="K39:K42"/>
    <mergeCell ref="K43:K46"/>
    <mergeCell ref="K47:K50"/>
    <mergeCell ref="K51:K54"/>
    <mergeCell ref="K55:K58"/>
    <mergeCell ref="K59:K62"/>
    <mergeCell ref="K63:K66"/>
    <mergeCell ref="K67:K70"/>
    <mergeCell ref="K71:K74"/>
    <mergeCell ref="K4:K5"/>
    <mergeCell ref="K7:K10"/>
    <mergeCell ref="K11:K14"/>
    <mergeCell ref="K15:K18"/>
    <mergeCell ref="K19:K22"/>
    <mergeCell ref="K23:K26"/>
    <mergeCell ref="K27:K30"/>
    <mergeCell ref="K31:K34"/>
    <mergeCell ref="K35:K38"/>
    <mergeCell ref="D71:D74"/>
    <mergeCell ref="E4:E5"/>
    <mergeCell ref="E7:E10"/>
    <mergeCell ref="E11:E14"/>
    <mergeCell ref="E15:E18"/>
    <mergeCell ref="E19:E22"/>
    <mergeCell ref="E23:E26"/>
    <mergeCell ref="E27:E30"/>
    <mergeCell ref="E31:E34"/>
    <mergeCell ref="E35:E38"/>
    <mergeCell ref="E39:E42"/>
    <mergeCell ref="E43:E46"/>
    <mergeCell ref="E47:E50"/>
    <mergeCell ref="E51:E54"/>
    <mergeCell ref="E55:E58"/>
    <mergeCell ref="E59:E62"/>
    <mergeCell ref="E63:E66"/>
    <mergeCell ref="E67:E70"/>
    <mergeCell ref="E71:E74"/>
    <mergeCell ref="J43:J46"/>
    <mergeCell ref="J47:J50"/>
    <mergeCell ref="J51:J54"/>
    <mergeCell ref="J55:J58"/>
    <mergeCell ref="J59:J62"/>
    <mergeCell ref="J63:J66"/>
    <mergeCell ref="J67:J70"/>
    <mergeCell ref="J71:J74"/>
    <mergeCell ref="D7:D10"/>
    <mergeCell ref="D11:D14"/>
    <mergeCell ref="D15:D18"/>
    <mergeCell ref="D19:D22"/>
    <mergeCell ref="D23:D26"/>
    <mergeCell ref="D27:D30"/>
    <mergeCell ref="D31:D34"/>
    <mergeCell ref="D35:D38"/>
    <mergeCell ref="D39:D42"/>
    <mergeCell ref="D43:D46"/>
    <mergeCell ref="D47:D50"/>
    <mergeCell ref="D51:D54"/>
    <mergeCell ref="D55:D58"/>
    <mergeCell ref="D59:D62"/>
    <mergeCell ref="D63:D66"/>
    <mergeCell ref="D67:D70"/>
    <mergeCell ref="J7:J10"/>
    <mergeCell ref="J11:J14"/>
    <mergeCell ref="J15:J18"/>
    <mergeCell ref="J19:J22"/>
    <mergeCell ref="J23:J26"/>
    <mergeCell ref="J27:J30"/>
    <mergeCell ref="J31:J34"/>
    <mergeCell ref="J35:J38"/>
    <mergeCell ref="J39:J42"/>
    <mergeCell ref="L67:L70"/>
    <mergeCell ref="L71:L74"/>
    <mergeCell ref="I4:I5"/>
    <mergeCell ref="M4:M5"/>
    <mergeCell ref="A2:B5"/>
    <mergeCell ref="M67:M70"/>
    <mergeCell ref="M71:M74"/>
    <mergeCell ref="L11:L14"/>
    <mergeCell ref="L15:L18"/>
    <mergeCell ref="L19:L22"/>
    <mergeCell ref="L23:L26"/>
    <mergeCell ref="L27:L30"/>
    <mergeCell ref="L31:L34"/>
    <mergeCell ref="L35:L38"/>
    <mergeCell ref="L39:L42"/>
    <mergeCell ref="L43:L46"/>
    <mergeCell ref="L47:L50"/>
    <mergeCell ref="L51:L54"/>
    <mergeCell ref="L55:L58"/>
    <mergeCell ref="L59:L62"/>
    <mergeCell ref="L63:L66"/>
    <mergeCell ref="M47:M50"/>
    <mergeCell ref="M51:M54"/>
    <mergeCell ref="M55:M58"/>
    <mergeCell ref="M59:M62"/>
    <mergeCell ref="M63:M66"/>
    <mergeCell ref="I63:I66"/>
    <mergeCell ref="I67:I70"/>
    <mergeCell ref="I71:I74"/>
    <mergeCell ref="C2:M3"/>
    <mergeCell ref="C4:C5"/>
    <mergeCell ref="L7:L10"/>
    <mergeCell ref="M7:M10"/>
    <mergeCell ref="M11:M14"/>
    <mergeCell ref="M15:M18"/>
    <mergeCell ref="M19:M22"/>
    <mergeCell ref="M23:M26"/>
    <mergeCell ref="M27:M30"/>
    <mergeCell ref="M31:M34"/>
    <mergeCell ref="M35:M38"/>
    <mergeCell ref="M39:M42"/>
    <mergeCell ref="M43:M46"/>
    <mergeCell ref="H63:H66"/>
    <mergeCell ref="H67:H70"/>
    <mergeCell ref="H71:H74"/>
    <mergeCell ref="I11:I14"/>
    <mergeCell ref="I15:I18"/>
    <mergeCell ref="I19:I22"/>
    <mergeCell ref="I59:I62"/>
    <mergeCell ref="H43:H46"/>
    <mergeCell ref="H47:H50"/>
    <mergeCell ref="H51:H54"/>
    <mergeCell ref="H55:H58"/>
    <mergeCell ref="H59:H62"/>
    <mergeCell ref="H23:H26"/>
    <mergeCell ref="H27:H30"/>
    <mergeCell ref="H31:H34"/>
    <mergeCell ref="H35:H38"/>
    <mergeCell ref="H39:H42"/>
    <mergeCell ref="I23:I26"/>
    <mergeCell ref="I27:I30"/>
    <mergeCell ref="I31:I34"/>
    <mergeCell ref="I35:I38"/>
    <mergeCell ref="I39:I42"/>
    <mergeCell ref="I43:I46"/>
    <mergeCell ref="I47:I50"/>
    <mergeCell ref="I51:I54"/>
    <mergeCell ref="I55:I58"/>
    <mergeCell ref="F43:F46"/>
    <mergeCell ref="I7:I10"/>
    <mergeCell ref="H7:H10"/>
    <mergeCell ref="H11:H14"/>
    <mergeCell ref="H15:H18"/>
    <mergeCell ref="H19:H22"/>
    <mergeCell ref="G4:G5"/>
    <mergeCell ref="C7:C10"/>
    <mergeCell ref="F7:F10"/>
    <mergeCell ref="G7:G10"/>
    <mergeCell ref="C11:C14"/>
    <mergeCell ref="F11:F14"/>
    <mergeCell ref="G11:G14"/>
    <mergeCell ref="C15:C18"/>
    <mergeCell ref="F15:F18"/>
    <mergeCell ref="G15:G18"/>
    <mergeCell ref="C19:C22"/>
    <mergeCell ref="F19:F22"/>
    <mergeCell ref="G19:G22"/>
    <mergeCell ref="B63:B66"/>
    <mergeCell ref="B51:B54"/>
    <mergeCell ref="B43:B46"/>
    <mergeCell ref="B47:B50"/>
    <mergeCell ref="B55:B58"/>
    <mergeCell ref="C23:C26"/>
    <mergeCell ref="F23:F26"/>
    <mergeCell ref="G23:G26"/>
    <mergeCell ref="C27:C30"/>
    <mergeCell ref="F27:F30"/>
    <mergeCell ref="G27:G30"/>
    <mergeCell ref="C31:C34"/>
    <mergeCell ref="F31:F34"/>
    <mergeCell ref="G31:G34"/>
    <mergeCell ref="C35:C38"/>
    <mergeCell ref="F35:F38"/>
    <mergeCell ref="G35:G38"/>
    <mergeCell ref="C39:C42"/>
    <mergeCell ref="F39:F42"/>
    <mergeCell ref="G39:G42"/>
    <mergeCell ref="C55:C58"/>
    <mergeCell ref="F55:F58"/>
    <mergeCell ref="G55:G58"/>
    <mergeCell ref="C43:C46"/>
    <mergeCell ref="B11:B14"/>
    <mergeCell ref="B15:B18"/>
    <mergeCell ref="B19:B22"/>
    <mergeCell ref="B23:B26"/>
    <mergeCell ref="C67:C70"/>
    <mergeCell ref="F67:F70"/>
    <mergeCell ref="G67:G70"/>
    <mergeCell ref="C71:C74"/>
    <mergeCell ref="F71:F74"/>
    <mergeCell ref="G71:G74"/>
    <mergeCell ref="C59:C62"/>
    <mergeCell ref="F59:F62"/>
    <mergeCell ref="G59:G62"/>
    <mergeCell ref="C63:C66"/>
    <mergeCell ref="F63:F66"/>
    <mergeCell ref="G63:G66"/>
    <mergeCell ref="G43:G46"/>
    <mergeCell ref="C47:C50"/>
    <mergeCell ref="F47:F50"/>
    <mergeCell ref="G47:G50"/>
    <mergeCell ref="C51:C54"/>
    <mergeCell ref="F51:F54"/>
    <mergeCell ref="G51:G54"/>
    <mergeCell ref="B59:B62"/>
    <mergeCell ref="B27:B30"/>
    <mergeCell ref="B31:B34"/>
    <mergeCell ref="B35:B38"/>
    <mergeCell ref="B39:B42"/>
    <mergeCell ref="B67:B70"/>
    <mergeCell ref="B71:B74"/>
    <mergeCell ref="A7:A10"/>
    <mergeCell ref="A11:A14"/>
    <mergeCell ref="A15:A18"/>
    <mergeCell ref="A19:A22"/>
    <mergeCell ref="A71:A74"/>
    <mergeCell ref="A27:A30"/>
    <mergeCell ref="A31:A34"/>
    <mergeCell ref="A35:A38"/>
    <mergeCell ref="A39:A42"/>
    <mergeCell ref="A43:A46"/>
    <mergeCell ref="A47:A50"/>
    <mergeCell ref="A51:A54"/>
    <mergeCell ref="A55:A58"/>
    <mergeCell ref="A59:A62"/>
    <mergeCell ref="A63:A66"/>
    <mergeCell ref="A67:A70"/>
    <mergeCell ref="A23:A26"/>
    <mergeCell ref="B7:B10"/>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pageSetUpPr fitToPage="1"/>
  </sheetPr>
  <dimension ref="B1:G47"/>
  <sheetViews>
    <sheetView showGridLines="0" tabSelected="1" view="pageBreakPreview" zoomScale="85" zoomScaleNormal="100" zoomScaleSheetLayoutView="85" workbookViewId="0">
      <selection activeCell="B4" sqref="B4"/>
    </sheetView>
  </sheetViews>
  <sheetFormatPr defaultRowHeight="24" customHeight="1"/>
  <cols>
    <col min="1" max="1" width="3.25" style="1092" customWidth="1"/>
    <col min="2" max="2" width="18.375" style="1092" customWidth="1"/>
    <col min="3" max="3" width="69.5" style="1102" customWidth="1"/>
    <col min="4" max="4" width="48.375" style="1092" customWidth="1"/>
    <col min="5" max="5" width="11.875" style="1092" customWidth="1"/>
    <col min="6" max="6" width="17.125" style="1092" customWidth="1"/>
    <col min="7" max="7" width="68.125" style="1092" customWidth="1"/>
    <col min="8" max="12" width="17.125" style="1092" customWidth="1"/>
    <col min="13" max="247" width="9" style="1092"/>
    <col min="248" max="248" width="30.5" style="1092" customWidth="1"/>
    <col min="249" max="249" width="43.75" style="1092" customWidth="1"/>
    <col min="250" max="252" width="9" style="1092"/>
    <col min="253" max="253" width="21.875" style="1092" customWidth="1"/>
    <col min="254" max="255" width="9" style="1092"/>
    <col min="256" max="257" width="9" style="1092" customWidth="1"/>
    <col min="258" max="503" width="9" style="1092"/>
    <col min="504" max="504" width="30.5" style="1092" customWidth="1"/>
    <col min="505" max="505" width="43.75" style="1092" customWidth="1"/>
    <col min="506" max="508" width="9" style="1092"/>
    <col min="509" max="509" width="21.875" style="1092" customWidth="1"/>
    <col min="510" max="511" width="9" style="1092"/>
    <col min="512" max="513" width="9" style="1092" customWidth="1"/>
    <col min="514" max="759" width="9" style="1092"/>
    <col min="760" max="760" width="30.5" style="1092" customWidth="1"/>
    <col min="761" max="761" width="43.75" style="1092" customWidth="1"/>
    <col min="762" max="764" width="9" style="1092"/>
    <col min="765" max="765" width="21.875" style="1092" customWidth="1"/>
    <col min="766" max="767" width="9" style="1092"/>
    <col min="768" max="769" width="9" style="1092" customWidth="1"/>
    <col min="770" max="1015" width="9" style="1092"/>
    <col min="1016" max="1016" width="30.5" style="1092" customWidth="1"/>
    <col min="1017" max="1017" width="43.75" style="1092" customWidth="1"/>
    <col min="1018" max="1020" width="9" style="1092"/>
    <col min="1021" max="1021" width="21.875" style="1092" customWidth="1"/>
    <col min="1022" max="1023" width="9" style="1092"/>
    <col min="1024" max="1025" width="9" style="1092" customWidth="1"/>
    <col min="1026" max="1271" width="9" style="1092"/>
    <col min="1272" max="1272" width="30.5" style="1092" customWidth="1"/>
    <col min="1273" max="1273" width="43.75" style="1092" customWidth="1"/>
    <col min="1274" max="1276" width="9" style="1092"/>
    <col min="1277" max="1277" width="21.875" style="1092" customWidth="1"/>
    <col min="1278" max="1279" width="9" style="1092"/>
    <col min="1280" max="1281" width="9" style="1092" customWidth="1"/>
    <col min="1282" max="1527" width="9" style="1092"/>
    <col min="1528" max="1528" width="30.5" style="1092" customWidth="1"/>
    <col min="1529" max="1529" width="43.75" style="1092" customWidth="1"/>
    <col min="1530" max="1532" width="9" style="1092"/>
    <col min="1533" max="1533" width="21.875" style="1092" customWidth="1"/>
    <col min="1534" max="1535" width="9" style="1092"/>
    <col min="1536" max="1537" width="9" style="1092" customWidth="1"/>
    <col min="1538" max="1783" width="9" style="1092"/>
    <col min="1784" max="1784" width="30.5" style="1092" customWidth="1"/>
    <col min="1785" max="1785" width="43.75" style="1092" customWidth="1"/>
    <col min="1786" max="1788" width="9" style="1092"/>
    <col min="1789" max="1789" width="21.875" style="1092" customWidth="1"/>
    <col min="1790" max="1791" width="9" style="1092"/>
    <col min="1792" max="1793" width="9" style="1092" customWidth="1"/>
    <col min="1794" max="2039" width="9" style="1092"/>
    <col min="2040" max="2040" width="30.5" style="1092" customWidth="1"/>
    <col min="2041" max="2041" width="43.75" style="1092" customWidth="1"/>
    <col min="2042" max="2044" width="9" style="1092"/>
    <col min="2045" max="2045" width="21.875" style="1092" customWidth="1"/>
    <col min="2046" max="2047" width="9" style="1092"/>
    <col min="2048" max="2049" width="9" style="1092" customWidth="1"/>
    <col min="2050" max="2295" width="9" style="1092"/>
    <col min="2296" max="2296" width="30.5" style="1092" customWidth="1"/>
    <col min="2297" max="2297" width="43.75" style="1092" customWidth="1"/>
    <col min="2298" max="2300" width="9" style="1092"/>
    <col min="2301" max="2301" width="21.875" style="1092" customWidth="1"/>
    <col min="2302" max="2303" width="9" style="1092"/>
    <col min="2304" max="2305" width="9" style="1092" customWidth="1"/>
    <col min="2306" max="2551" width="9" style="1092"/>
    <col min="2552" max="2552" width="30.5" style="1092" customWidth="1"/>
    <col min="2553" max="2553" width="43.75" style="1092" customWidth="1"/>
    <col min="2554" max="2556" width="9" style="1092"/>
    <col min="2557" max="2557" width="21.875" style="1092" customWidth="1"/>
    <col min="2558" max="2559" width="9" style="1092"/>
    <col min="2560" max="2561" width="9" style="1092" customWidth="1"/>
    <col min="2562" max="2807" width="9" style="1092"/>
    <col min="2808" max="2808" width="30.5" style="1092" customWidth="1"/>
    <col min="2809" max="2809" width="43.75" style="1092" customWidth="1"/>
    <col min="2810" max="2812" width="9" style="1092"/>
    <col min="2813" max="2813" width="21.875" style="1092" customWidth="1"/>
    <col min="2814" max="2815" width="9" style="1092"/>
    <col min="2816" max="2817" width="9" style="1092" customWidth="1"/>
    <col min="2818" max="3063" width="9" style="1092"/>
    <col min="3064" max="3064" width="30.5" style="1092" customWidth="1"/>
    <col min="3065" max="3065" width="43.75" style="1092" customWidth="1"/>
    <col min="3066" max="3068" width="9" style="1092"/>
    <col min="3069" max="3069" width="21.875" style="1092" customWidth="1"/>
    <col min="3070" max="3071" width="9" style="1092"/>
    <col min="3072" max="3073" width="9" style="1092" customWidth="1"/>
    <col min="3074" max="3319" width="9" style="1092"/>
    <col min="3320" max="3320" width="30.5" style="1092" customWidth="1"/>
    <col min="3321" max="3321" width="43.75" style="1092" customWidth="1"/>
    <col min="3322" max="3324" width="9" style="1092"/>
    <col min="3325" max="3325" width="21.875" style="1092" customWidth="1"/>
    <col min="3326" max="3327" width="9" style="1092"/>
    <col min="3328" max="3329" width="9" style="1092" customWidth="1"/>
    <col min="3330" max="3575" width="9" style="1092"/>
    <col min="3576" max="3576" width="30.5" style="1092" customWidth="1"/>
    <col min="3577" max="3577" width="43.75" style="1092" customWidth="1"/>
    <col min="3578" max="3580" width="9" style="1092"/>
    <col min="3581" max="3581" width="21.875" style="1092" customWidth="1"/>
    <col min="3582" max="3583" width="9" style="1092"/>
    <col min="3584" max="3585" width="9" style="1092" customWidth="1"/>
    <col min="3586" max="3831" width="9" style="1092"/>
    <col min="3832" max="3832" width="30.5" style="1092" customWidth="1"/>
    <col min="3833" max="3833" width="43.75" style="1092" customWidth="1"/>
    <col min="3834" max="3836" width="9" style="1092"/>
    <col min="3837" max="3837" width="21.875" style="1092" customWidth="1"/>
    <col min="3838" max="3839" width="9" style="1092"/>
    <col min="3840" max="3841" width="9" style="1092" customWidth="1"/>
    <col min="3842" max="4087" width="9" style="1092"/>
    <col min="4088" max="4088" width="30.5" style="1092" customWidth="1"/>
    <col min="4089" max="4089" width="43.75" style="1092" customWidth="1"/>
    <col min="4090" max="4092" width="9" style="1092"/>
    <col min="4093" max="4093" width="21.875" style="1092" customWidth="1"/>
    <col min="4094" max="4095" width="9" style="1092"/>
    <col min="4096" max="4097" width="9" style="1092" customWidth="1"/>
    <col min="4098" max="4343" width="9" style="1092"/>
    <col min="4344" max="4344" width="30.5" style="1092" customWidth="1"/>
    <col min="4345" max="4345" width="43.75" style="1092" customWidth="1"/>
    <col min="4346" max="4348" width="9" style="1092"/>
    <col min="4349" max="4349" width="21.875" style="1092" customWidth="1"/>
    <col min="4350" max="4351" width="9" style="1092"/>
    <col min="4352" max="4353" width="9" style="1092" customWidth="1"/>
    <col min="4354" max="4599" width="9" style="1092"/>
    <col min="4600" max="4600" width="30.5" style="1092" customWidth="1"/>
    <col min="4601" max="4601" width="43.75" style="1092" customWidth="1"/>
    <col min="4602" max="4604" width="9" style="1092"/>
    <col min="4605" max="4605" width="21.875" style="1092" customWidth="1"/>
    <col min="4606" max="4607" width="9" style="1092"/>
    <col min="4608" max="4609" width="9" style="1092" customWidth="1"/>
    <col min="4610" max="4855" width="9" style="1092"/>
    <col min="4856" max="4856" width="30.5" style="1092" customWidth="1"/>
    <col min="4857" max="4857" width="43.75" style="1092" customWidth="1"/>
    <col min="4858" max="4860" width="9" style="1092"/>
    <col min="4861" max="4861" width="21.875" style="1092" customWidth="1"/>
    <col min="4862" max="4863" width="9" style="1092"/>
    <col min="4864" max="4865" width="9" style="1092" customWidth="1"/>
    <col min="4866" max="5111" width="9" style="1092"/>
    <col min="5112" max="5112" width="30.5" style="1092" customWidth="1"/>
    <col min="5113" max="5113" width="43.75" style="1092" customWidth="1"/>
    <col min="5114" max="5116" width="9" style="1092"/>
    <col min="5117" max="5117" width="21.875" style="1092" customWidth="1"/>
    <col min="5118" max="5119" width="9" style="1092"/>
    <col min="5120" max="5121" width="9" style="1092" customWidth="1"/>
    <col min="5122" max="5367" width="9" style="1092"/>
    <col min="5368" max="5368" width="30.5" style="1092" customWidth="1"/>
    <col min="5369" max="5369" width="43.75" style="1092" customWidth="1"/>
    <col min="5370" max="5372" width="9" style="1092"/>
    <col min="5373" max="5373" width="21.875" style="1092" customWidth="1"/>
    <col min="5374" max="5375" width="9" style="1092"/>
    <col min="5376" max="5377" width="9" style="1092" customWidth="1"/>
    <col min="5378" max="5623" width="9" style="1092"/>
    <col min="5624" max="5624" width="30.5" style="1092" customWidth="1"/>
    <col min="5625" max="5625" width="43.75" style="1092" customWidth="1"/>
    <col min="5626" max="5628" width="9" style="1092"/>
    <col min="5629" max="5629" width="21.875" style="1092" customWidth="1"/>
    <col min="5630" max="5631" width="9" style="1092"/>
    <col min="5632" max="5633" width="9" style="1092" customWidth="1"/>
    <col min="5634" max="5879" width="9" style="1092"/>
    <col min="5880" max="5880" width="30.5" style="1092" customWidth="1"/>
    <col min="5881" max="5881" width="43.75" style="1092" customWidth="1"/>
    <col min="5882" max="5884" width="9" style="1092"/>
    <col min="5885" max="5885" width="21.875" style="1092" customWidth="1"/>
    <col min="5886" max="5887" width="9" style="1092"/>
    <col min="5888" max="5889" width="9" style="1092" customWidth="1"/>
    <col min="5890" max="6135" width="9" style="1092"/>
    <col min="6136" max="6136" width="30.5" style="1092" customWidth="1"/>
    <col min="6137" max="6137" width="43.75" style="1092" customWidth="1"/>
    <col min="6138" max="6140" width="9" style="1092"/>
    <col min="6141" max="6141" width="21.875" style="1092" customWidth="1"/>
    <col min="6142" max="6143" width="9" style="1092"/>
    <col min="6144" max="6145" width="9" style="1092" customWidth="1"/>
    <col min="6146" max="6391" width="9" style="1092"/>
    <col min="6392" max="6392" width="30.5" style="1092" customWidth="1"/>
    <col min="6393" max="6393" width="43.75" style="1092" customWidth="1"/>
    <col min="6394" max="6396" width="9" style="1092"/>
    <col min="6397" max="6397" width="21.875" style="1092" customWidth="1"/>
    <col min="6398" max="6399" width="9" style="1092"/>
    <col min="6400" max="6401" width="9" style="1092" customWidth="1"/>
    <col min="6402" max="6647" width="9" style="1092"/>
    <col min="6648" max="6648" width="30.5" style="1092" customWidth="1"/>
    <col min="6649" max="6649" width="43.75" style="1092" customWidth="1"/>
    <col min="6650" max="6652" width="9" style="1092"/>
    <col min="6653" max="6653" width="21.875" style="1092" customWidth="1"/>
    <col min="6654" max="6655" width="9" style="1092"/>
    <col min="6656" max="6657" width="9" style="1092" customWidth="1"/>
    <col min="6658" max="6903" width="9" style="1092"/>
    <col min="6904" max="6904" width="30.5" style="1092" customWidth="1"/>
    <col min="6905" max="6905" width="43.75" style="1092" customWidth="1"/>
    <col min="6906" max="6908" width="9" style="1092"/>
    <col min="6909" max="6909" width="21.875" style="1092" customWidth="1"/>
    <col min="6910" max="6911" width="9" style="1092"/>
    <col min="6912" max="6913" width="9" style="1092" customWidth="1"/>
    <col min="6914" max="7159" width="9" style="1092"/>
    <col min="7160" max="7160" width="30.5" style="1092" customWidth="1"/>
    <col min="7161" max="7161" width="43.75" style="1092" customWidth="1"/>
    <col min="7162" max="7164" width="9" style="1092"/>
    <col min="7165" max="7165" width="21.875" style="1092" customWidth="1"/>
    <col min="7166" max="7167" width="9" style="1092"/>
    <col min="7168" max="7169" width="9" style="1092" customWidth="1"/>
    <col min="7170" max="7415" width="9" style="1092"/>
    <col min="7416" max="7416" width="30.5" style="1092" customWidth="1"/>
    <col min="7417" max="7417" width="43.75" style="1092" customWidth="1"/>
    <col min="7418" max="7420" width="9" style="1092"/>
    <col min="7421" max="7421" width="21.875" style="1092" customWidth="1"/>
    <col min="7422" max="7423" width="9" style="1092"/>
    <col min="7424" max="7425" width="9" style="1092" customWidth="1"/>
    <col min="7426" max="7671" width="9" style="1092"/>
    <col min="7672" max="7672" width="30.5" style="1092" customWidth="1"/>
    <col min="7673" max="7673" width="43.75" style="1092" customWidth="1"/>
    <col min="7674" max="7676" width="9" style="1092"/>
    <col min="7677" max="7677" width="21.875" style="1092" customWidth="1"/>
    <col min="7678" max="7679" width="9" style="1092"/>
    <col min="7680" max="7681" width="9" style="1092" customWidth="1"/>
    <col min="7682" max="7927" width="9" style="1092"/>
    <col min="7928" max="7928" width="30.5" style="1092" customWidth="1"/>
    <col min="7929" max="7929" width="43.75" style="1092" customWidth="1"/>
    <col min="7930" max="7932" width="9" style="1092"/>
    <col min="7933" max="7933" width="21.875" style="1092" customWidth="1"/>
    <col min="7934" max="7935" width="9" style="1092"/>
    <col min="7936" max="7937" width="9" style="1092" customWidth="1"/>
    <col min="7938" max="8183" width="9" style="1092"/>
    <col min="8184" max="8184" width="30.5" style="1092" customWidth="1"/>
    <col min="8185" max="8185" width="43.75" style="1092" customWidth="1"/>
    <col min="8186" max="8188" width="9" style="1092"/>
    <col min="8189" max="8189" width="21.875" style="1092" customWidth="1"/>
    <col min="8190" max="8191" width="9" style="1092"/>
    <col min="8192" max="8193" width="9" style="1092" customWidth="1"/>
    <col min="8194" max="8439" width="9" style="1092"/>
    <col min="8440" max="8440" width="30.5" style="1092" customWidth="1"/>
    <col min="8441" max="8441" width="43.75" style="1092" customWidth="1"/>
    <col min="8442" max="8444" width="9" style="1092"/>
    <col min="8445" max="8445" width="21.875" style="1092" customWidth="1"/>
    <col min="8446" max="8447" width="9" style="1092"/>
    <col min="8448" max="8449" width="9" style="1092" customWidth="1"/>
    <col min="8450" max="8695" width="9" style="1092"/>
    <col min="8696" max="8696" width="30.5" style="1092" customWidth="1"/>
    <col min="8697" max="8697" width="43.75" style="1092" customWidth="1"/>
    <col min="8698" max="8700" width="9" style="1092"/>
    <col min="8701" max="8701" width="21.875" style="1092" customWidth="1"/>
    <col min="8702" max="8703" width="9" style="1092"/>
    <col min="8704" max="8705" width="9" style="1092" customWidth="1"/>
    <col min="8706" max="8951" width="9" style="1092"/>
    <col min="8952" max="8952" width="30.5" style="1092" customWidth="1"/>
    <col min="8953" max="8953" width="43.75" style="1092" customWidth="1"/>
    <col min="8954" max="8956" width="9" style="1092"/>
    <col min="8957" max="8957" width="21.875" style="1092" customWidth="1"/>
    <col min="8958" max="8959" width="9" style="1092"/>
    <col min="8960" max="8961" width="9" style="1092" customWidth="1"/>
    <col min="8962" max="9207" width="9" style="1092"/>
    <col min="9208" max="9208" width="30.5" style="1092" customWidth="1"/>
    <col min="9209" max="9209" width="43.75" style="1092" customWidth="1"/>
    <col min="9210" max="9212" width="9" style="1092"/>
    <col min="9213" max="9213" width="21.875" style="1092" customWidth="1"/>
    <col min="9214" max="9215" width="9" style="1092"/>
    <col min="9216" max="9217" width="9" style="1092" customWidth="1"/>
    <col min="9218" max="9463" width="9" style="1092"/>
    <col min="9464" max="9464" width="30.5" style="1092" customWidth="1"/>
    <col min="9465" max="9465" width="43.75" style="1092" customWidth="1"/>
    <col min="9466" max="9468" width="9" style="1092"/>
    <col min="9469" max="9469" width="21.875" style="1092" customWidth="1"/>
    <col min="9470" max="9471" width="9" style="1092"/>
    <col min="9472" max="9473" width="9" style="1092" customWidth="1"/>
    <col min="9474" max="9719" width="9" style="1092"/>
    <col min="9720" max="9720" width="30.5" style="1092" customWidth="1"/>
    <col min="9721" max="9721" width="43.75" style="1092" customWidth="1"/>
    <col min="9722" max="9724" width="9" style="1092"/>
    <col min="9725" max="9725" width="21.875" style="1092" customWidth="1"/>
    <col min="9726" max="9727" width="9" style="1092"/>
    <col min="9728" max="9729" width="9" style="1092" customWidth="1"/>
    <col min="9730" max="9975" width="9" style="1092"/>
    <col min="9976" max="9976" width="30.5" style="1092" customWidth="1"/>
    <col min="9977" max="9977" width="43.75" style="1092" customWidth="1"/>
    <col min="9978" max="9980" width="9" style="1092"/>
    <col min="9981" max="9981" width="21.875" style="1092" customWidth="1"/>
    <col min="9982" max="9983" width="9" style="1092"/>
    <col min="9984" max="9985" width="9" style="1092" customWidth="1"/>
    <col min="9986" max="10231" width="9" style="1092"/>
    <col min="10232" max="10232" width="30.5" style="1092" customWidth="1"/>
    <col min="10233" max="10233" width="43.75" style="1092" customWidth="1"/>
    <col min="10234" max="10236" width="9" style="1092"/>
    <col min="10237" max="10237" width="21.875" style="1092" customWidth="1"/>
    <col min="10238" max="10239" width="9" style="1092"/>
    <col min="10240" max="10241" width="9" style="1092" customWidth="1"/>
    <col min="10242" max="10487" width="9" style="1092"/>
    <col min="10488" max="10488" width="30.5" style="1092" customWidth="1"/>
    <col min="10489" max="10489" width="43.75" style="1092" customWidth="1"/>
    <col min="10490" max="10492" width="9" style="1092"/>
    <col min="10493" max="10493" width="21.875" style="1092" customWidth="1"/>
    <col min="10494" max="10495" width="9" style="1092"/>
    <col min="10496" max="10497" width="9" style="1092" customWidth="1"/>
    <col min="10498" max="10743" width="9" style="1092"/>
    <col min="10744" max="10744" width="30.5" style="1092" customWidth="1"/>
    <col min="10745" max="10745" width="43.75" style="1092" customWidth="1"/>
    <col min="10746" max="10748" width="9" style="1092"/>
    <col min="10749" max="10749" width="21.875" style="1092" customWidth="1"/>
    <col min="10750" max="10751" width="9" style="1092"/>
    <col min="10752" max="10753" width="9" style="1092" customWidth="1"/>
    <col min="10754" max="10999" width="9" style="1092"/>
    <col min="11000" max="11000" width="30.5" style="1092" customWidth="1"/>
    <col min="11001" max="11001" width="43.75" style="1092" customWidth="1"/>
    <col min="11002" max="11004" width="9" style="1092"/>
    <col min="11005" max="11005" width="21.875" style="1092" customWidth="1"/>
    <col min="11006" max="11007" width="9" style="1092"/>
    <col min="11008" max="11009" width="9" style="1092" customWidth="1"/>
    <col min="11010" max="11255" width="9" style="1092"/>
    <col min="11256" max="11256" width="30.5" style="1092" customWidth="1"/>
    <col min="11257" max="11257" width="43.75" style="1092" customWidth="1"/>
    <col min="11258" max="11260" width="9" style="1092"/>
    <col min="11261" max="11261" width="21.875" style="1092" customWidth="1"/>
    <col min="11262" max="11263" width="9" style="1092"/>
    <col min="11264" max="11265" width="9" style="1092" customWidth="1"/>
    <col min="11266" max="11511" width="9" style="1092"/>
    <col min="11512" max="11512" width="30.5" style="1092" customWidth="1"/>
    <col min="11513" max="11513" width="43.75" style="1092" customWidth="1"/>
    <col min="11514" max="11516" width="9" style="1092"/>
    <col min="11517" max="11517" width="21.875" style="1092" customWidth="1"/>
    <col min="11518" max="11519" width="9" style="1092"/>
    <col min="11520" max="11521" width="9" style="1092" customWidth="1"/>
    <col min="11522" max="11767" width="9" style="1092"/>
    <col min="11768" max="11768" width="30.5" style="1092" customWidth="1"/>
    <col min="11769" max="11769" width="43.75" style="1092" customWidth="1"/>
    <col min="11770" max="11772" width="9" style="1092"/>
    <col min="11773" max="11773" width="21.875" style="1092" customWidth="1"/>
    <col min="11774" max="11775" width="9" style="1092"/>
    <col min="11776" max="11777" width="9" style="1092" customWidth="1"/>
    <col min="11778" max="12023" width="9" style="1092"/>
    <col min="12024" max="12024" width="30.5" style="1092" customWidth="1"/>
    <col min="12025" max="12025" width="43.75" style="1092" customWidth="1"/>
    <col min="12026" max="12028" width="9" style="1092"/>
    <col min="12029" max="12029" width="21.875" style="1092" customWidth="1"/>
    <col min="12030" max="12031" width="9" style="1092"/>
    <col min="12032" max="12033" width="9" style="1092" customWidth="1"/>
    <col min="12034" max="12279" width="9" style="1092"/>
    <col min="12280" max="12280" width="30.5" style="1092" customWidth="1"/>
    <col min="12281" max="12281" width="43.75" style="1092" customWidth="1"/>
    <col min="12282" max="12284" width="9" style="1092"/>
    <col min="12285" max="12285" width="21.875" style="1092" customWidth="1"/>
    <col min="12286" max="12287" width="9" style="1092"/>
    <col min="12288" max="12289" width="9" style="1092" customWidth="1"/>
    <col min="12290" max="12535" width="9" style="1092"/>
    <col min="12536" max="12536" width="30.5" style="1092" customWidth="1"/>
    <col min="12537" max="12537" width="43.75" style="1092" customWidth="1"/>
    <col min="12538" max="12540" width="9" style="1092"/>
    <col min="12541" max="12541" width="21.875" style="1092" customWidth="1"/>
    <col min="12542" max="12543" width="9" style="1092"/>
    <col min="12544" max="12545" width="9" style="1092" customWidth="1"/>
    <col min="12546" max="12791" width="9" style="1092"/>
    <col min="12792" max="12792" width="30.5" style="1092" customWidth="1"/>
    <col min="12793" max="12793" width="43.75" style="1092" customWidth="1"/>
    <col min="12794" max="12796" width="9" style="1092"/>
    <col min="12797" max="12797" width="21.875" style="1092" customWidth="1"/>
    <col min="12798" max="12799" width="9" style="1092"/>
    <col min="12800" max="12801" width="9" style="1092" customWidth="1"/>
    <col min="12802" max="13047" width="9" style="1092"/>
    <col min="13048" max="13048" width="30.5" style="1092" customWidth="1"/>
    <col min="13049" max="13049" width="43.75" style="1092" customWidth="1"/>
    <col min="13050" max="13052" width="9" style="1092"/>
    <col min="13053" max="13053" width="21.875" style="1092" customWidth="1"/>
    <col min="13054" max="13055" width="9" style="1092"/>
    <col min="13056" max="13057" width="9" style="1092" customWidth="1"/>
    <col min="13058" max="13303" width="9" style="1092"/>
    <col min="13304" max="13304" width="30.5" style="1092" customWidth="1"/>
    <col min="13305" max="13305" width="43.75" style="1092" customWidth="1"/>
    <col min="13306" max="13308" width="9" style="1092"/>
    <col min="13309" max="13309" width="21.875" style="1092" customWidth="1"/>
    <col min="13310" max="13311" width="9" style="1092"/>
    <col min="13312" max="13313" width="9" style="1092" customWidth="1"/>
    <col min="13314" max="13559" width="9" style="1092"/>
    <col min="13560" max="13560" width="30.5" style="1092" customWidth="1"/>
    <col min="13561" max="13561" width="43.75" style="1092" customWidth="1"/>
    <col min="13562" max="13564" width="9" style="1092"/>
    <col min="13565" max="13565" width="21.875" style="1092" customWidth="1"/>
    <col min="13566" max="13567" width="9" style="1092"/>
    <col min="13568" max="13569" width="9" style="1092" customWidth="1"/>
    <col min="13570" max="13815" width="9" style="1092"/>
    <col min="13816" max="13816" width="30.5" style="1092" customWidth="1"/>
    <col min="13817" max="13817" width="43.75" style="1092" customWidth="1"/>
    <col min="13818" max="13820" width="9" style="1092"/>
    <col min="13821" max="13821" width="21.875" style="1092" customWidth="1"/>
    <col min="13822" max="13823" width="9" style="1092"/>
    <col min="13824" max="13825" width="9" style="1092" customWidth="1"/>
    <col min="13826" max="14071" width="9" style="1092"/>
    <col min="14072" max="14072" width="30.5" style="1092" customWidth="1"/>
    <col min="14073" max="14073" width="43.75" style="1092" customWidth="1"/>
    <col min="14074" max="14076" width="9" style="1092"/>
    <col min="14077" max="14077" width="21.875" style="1092" customWidth="1"/>
    <col min="14078" max="14079" width="9" style="1092"/>
    <col min="14080" max="14081" width="9" style="1092" customWidth="1"/>
    <col min="14082" max="14327" width="9" style="1092"/>
    <col min="14328" max="14328" width="30.5" style="1092" customWidth="1"/>
    <col min="14329" max="14329" width="43.75" style="1092" customWidth="1"/>
    <col min="14330" max="14332" width="9" style="1092"/>
    <col min="14333" max="14333" width="21.875" style="1092" customWidth="1"/>
    <col min="14334" max="14335" width="9" style="1092"/>
    <col min="14336" max="14337" width="9" style="1092" customWidth="1"/>
    <col min="14338" max="14583" width="9" style="1092"/>
    <col min="14584" max="14584" width="30.5" style="1092" customWidth="1"/>
    <col min="14585" max="14585" width="43.75" style="1092" customWidth="1"/>
    <col min="14586" max="14588" width="9" style="1092"/>
    <col min="14589" max="14589" width="21.875" style="1092" customWidth="1"/>
    <col min="14590" max="14591" width="9" style="1092"/>
    <col min="14592" max="14593" width="9" style="1092" customWidth="1"/>
    <col min="14594" max="14839" width="9" style="1092"/>
    <col min="14840" max="14840" width="30.5" style="1092" customWidth="1"/>
    <col min="14841" max="14841" width="43.75" style="1092" customWidth="1"/>
    <col min="14842" max="14844" width="9" style="1092"/>
    <col min="14845" max="14845" width="21.875" style="1092" customWidth="1"/>
    <col min="14846" max="14847" width="9" style="1092"/>
    <col min="14848" max="14849" width="9" style="1092" customWidth="1"/>
    <col min="14850" max="15095" width="9" style="1092"/>
    <col min="15096" max="15096" width="30.5" style="1092" customWidth="1"/>
    <col min="15097" max="15097" width="43.75" style="1092" customWidth="1"/>
    <col min="15098" max="15100" width="9" style="1092"/>
    <col min="15101" max="15101" width="21.875" style="1092" customWidth="1"/>
    <col min="15102" max="15103" width="9" style="1092"/>
    <col min="15104" max="15105" width="9" style="1092" customWidth="1"/>
    <col min="15106" max="15351" width="9" style="1092"/>
    <col min="15352" max="15352" width="30.5" style="1092" customWidth="1"/>
    <col min="15353" max="15353" width="43.75" style="1092" customWidth="1"/>
    <col min="15354" max="15356" width="9" style="1092"/>
    <col min="15357" max="15357" width="21.875" style="1092" customWidth="1"/>
    <col min="15358" max="15359" width="9" style="1092"/>
    <col min="15360" max="15361" width="9" style="1092" customWidth="1"/>
    <col min="15362" max="15607" width="9" style="1092"/>
    <col min="15608" max="15608" width="30.5" style="1092" customWidth="1"/>
    <col min="15609" max="15609" width="43.75" style="1092" customWidth="1"/>
    <col min="15610" max="15612" width="9" style="1092"/>
    <col min="15613" max="15613" width="21.875" style="1092" customWidth="1"/>
    <col min="15614" max="15615" width="9" style="1092"/>
    <col min="15616" max="15617" width="9" style="1092" customWidth="1"/>
    <col min="15618" max="15863" width="9" style="1092"/>
    <col min="15864" max="15864" width="30.5" style="1092" customWidth="1"/>
    <col min="15865" max="15865" width="43.75" style="1092" customWidth="1"/>
    <col min="15866" max="15868" width="9" style="1092"/>
    <col min="15869" max="15869" width="21.875" style="1092" customWidth="1"/>
    <col min="15870" max="15871" width="9" style="1092"/>
    <col min="15872" max="15873" width="9" style="1092" customWidth="1"/>
    <col min="15874" max="16119" width="9" style="1092"/>
    <col min="16120" max="16120" width="30.5" style="1092" customWidth="1"/>
    <col min="16121" max="16121" width="43.75" style="1092" customWidth="1"/>
    <col min="16122" max="16124" width="9" style="1092"/>
    <col min="16125" max="16125" width="21.875" style="1092" customWidth="1"/>
    <col min="16126" max="16127" width="9" style="1092"/>
    <col min="16128" max="16129" width="9" style="1092" customWidth="1"/>
    <col min="16130" max="16384" width="9" style="1092"/>
  </cols>
  <sheetData>
    <row r="1" spans="2:7" ht="22.5" customHeight="1">
      <c r="B1" s="1090"/>
      <c r="C1" s="1090"/>
      <c r="D1" s="1091"/>
      <c r="F1" s="1093"/>
      <c r="G1" s="1093"/>
    </row>
    <row r="2" spans="2:7" ht="18.75">
      <c r="B2" s="1094" t="s">
        <v>1181</v>
      </c>
      <c r="C2" s="1092"/>
      <c r="E2" s="1090"/>
      <c r="F2" s="1093"/>
      <c r="G2" s="1093"/>
    </row>
    <row r="3" spans="2:7" ht="18.75">
      <c r="B3" s="1093"/>
      <c r="C3" s="1093"/>
      <c r="D3" s="1095"/>
      <c r="E3" s="1090"/>
      <c r="F3" s="1093"/>
      <c r="G3" s="1093"/>
    </row>
    <row r="4" spans="2:7" ht="17.25">
      <c r="B4" s="1096" t="s">
        <v>1182</v>
      </c>
      <c r="C4" s="1097" t="s">
        <v>1183</v>
      </c>
      <c r="E4" s="1090"/>
      <c r="F4" s="1093"/>
      <c r="G4" s="1093"/>
    </row>
    <row r="5" spans="2:7" ht="17.25">
      <c r="B5" s="1113" t="s">
        <v>1199</v>
      </c>
      <c r="C5" s="1097" t="s">
        <v>1201</v>
      </c>
      <c r="E5" s="1090"/>
      <c r="F5" s="1093"/>
      <c r="G5" s="1093"/>
    </row>
    <row r="6" spans="2:7" ht="17.25">
      <c r="B6" s="1098" t="s">
        <v>1184</v>
      </c>
      <c r="C6" s="1097" t="s">
        <v>1185</v>
      </c>
      <c r="E6" s="1090"/>
      <c r="F6" s="1093"/>
      <c r="G6" s="1093"/>
    </row>
    <row r="7" spans="2:7" ht="17.25">
      <c r="B7" s="1099" t="s">
        <v>1186</v>
      </c>
      <c r="C7" s="1097" t="s">
        <v>1200</v>
      </c>
      <c r="E7" s="1090"/>
      <c r="F7" s="1093"/>
      <c r="G7" s="1093"/>
    </row>
    <row r="8" spans="2:7" ht="9" customHeight="1">
      <c r="B8" s="1090"/>
      <c r="C8" s="1090"/>
      <c r="D8" s="1090"/>
      <c r="E8" s="1090"/>
      <c r="F8" s="1093"/>
      <c r="G8" s="1093"/>
    </row>
    <row r="9" spans="2:7" ht="26.25" hidden="1" customHeight="1">
      <c r="B9" s="1100" t="s">
        <v>1187</v>
      </c>
      <c r="C9" s="1090"/>
      <c r="D9" s="1090"/>
      <c r="E9" s="1090"/>
      <c r="F9" s="1093"/>
      <c r="G9" s="1093"/>
    </row>
    <row r="10" spans="2:7" ht="26.25" hidden="1" customHeight="1" thickBot="1">
      <c r="B10" s="1101" t="s">
        <v>1215</v>
      </c>
      <c r="E10" s="1090"/>
      <c r="F10" s="1093"/>
      <c r="G10" s="1093"/>
    </row>
    <row r="11" spans="2:7" ht="26.25" hidden="1" customHeight="1">
      <c r="B11" s="1123" t="s">
        <v>1188</v>
      </c>
      <c r="C11" s="1124" t="s">
        <v>1197</v>
      </c>
      <c r="D11" s="1101"/>
      <c r="E11" s="1090"/>
      <c r="G11" s="1093"/>
    </row>
    <row r="12" spans="2:7" ht="26.25" hidden="1" customHeight="1">
      <c r="B12" s="1125" t="s">
        <v>1189</v>
      </c>
      <c r="C12" s="1126" t="str">
        <f>IF(【様式１】総括表・個票!$D$12="","※園名を選択",CONCATENATE("【加算申請】",VLOOKUP(【様式１】総括表・個票!$D$12,'施設状況(要更新)'!$F$4:$S$678,14,FALSE),【様式１】総括表・個票!$D$12))</f>
        <v>※園名を選択</v>
      </c>
      <c r="D12" s="1131" t="s">
        <v>1218</v>
      </c>
      <c r="G12" s="1093"/>
    </row>
    <row r="13" spans="2:7" ht="26.25" hidden="1" customHeight="1" thickBot="1">
      <c r="B13" s="1127" t="s">
        <v>1190</v>
      </c>
      <c r="C13" s="1128" t="s">
        <v>1191</v>
      </c>
      <c r="D13" s="1101" t="s">
        <v>1216</v>
      </c>
      <c r="G13" s="1093"/>
    </row>
    <row r="14" spans="2:7" ht="26.25" hidden="1" customHeight="1">
      <c r="D14" s="1101" t="s">
        <v>1217</v>
      </c>
      <c r="G14" s="1093"/>
    </row>
    <row r="15" spans="2:7" ht="26.25" hidden="1" customHeight="1" thickBot="1">
      <c r="B15" s="1101" t="s">
        <v>1214</v>
      </c>
      <c r="G15" s="1093"/>
    </row>
    <row r="16" spans="2:7" ht="26.25" hidden="1" customHeight="1">
      <c r="B16" s="1103" t="s">
        <v>1192</v>
      </c>
      <c r="C16" s="1104"/>
      <c r="D16" s="1101" t="s">
        <v>1212</v>
      </c>
      <c r="G16" s="1093"/>
    </row>
    <row r="17" spans="2:7" ht="26.25" hidden="1" customHeight="1">
      <c r="B17" s="1105" t="s">
        <v>1193</v>
      </c>
      <c r="C17" s="1106"/>
      <c r="D17" s="1092" t="s">
        <v>1213</v>
      </c>
      <c r="G17" s="1093"/>
    </row>
    <row r="18" spans="2:7" ht="26.25" hidden="1" customHeight="1" thickBot="1">
      <c r="B18" s="1107" t="s">
        <v>1198</v>
      </c>
      <c r="C18" s="1108"/>
      <c r="G18" s="1093"/>
    </row>
    <row r="19" spans="2:7" ht="26.25" hidden="1" customHeight="1">
      <c r="C19" s="1092"/>
      <c r="F19" s="1090"/>
      <c r="G19" s="1093"/>
    </row>
    <row r="20" spans="2:7" ht="24" hidden="1" customHeight="1">
      <c r="B20" s="1110" t="s">
        <v>1194</v>
      </c>
      <c r="C20" s="1111"/>
      <c r="D20" s="1112"/>
      <c r="F20" s="1093"/>
      <c r="G20" s="1093"/>
    </row>
    <row r="21" spans="2:7" ht="24" hidden="1" customHeight="1" thickBot="1">
      <c r="B21" s="1111" t="s">
        <v>1195</v>
      </c>
      <c r="C21" s="1111"/>
      <c r="D21" s="1112"/>
    </row>
    <row r="22" spans="2:7" ht="24" hidden="1" customHeight="1">
      <c r="B22" s="1130" t="s">
        <v>1196</v>
      </c>
      <c r="C22" s="1124" t="s">
        <v>1197</v>
      </c>
      <c r="D22" s="1112"/>
    </row>
    <row r="23" spans="2:7" ht="24" hidden="1" customHeight="1" thickBot="1">
      <c r="B23" s="1129" t="s">
        <v>1189</v>
      </c>
      <c r="C23" s="1128" t="str">
        <f>IF(【様式１】総括表・個票!$D$12="","※園名を選択",CONCATENATE("【加算問い合わせ】",VLOOKUP(【様式１】総括表・個票!$D$12,'施設状況(要更新)'!$F$4:$S$678,14,FALSE),【様式１】総括表・個票!$D$12))</f>
        <v>※園名を選択</v>
      </c>
      <c r="D23" s="1131" t="s">
        <v>1218</v>
      </c>
    </row>
    <row r="24" spans="2:7" ht="24" customHeight="1">
      <c r="B24" s="1114"/>
      <c r="C24" s="1115"/>
    </row>
    <row r="25" spans="2:7" ht="24" customHeight="1" thickBot="1">
      <c r="B25" s="1110" t="s">
        <v>1202</v>
      </c>
      <c r="C25" s="1090"/>
      <c r="E25" s="1090"/>
    </row>
    <row r="26" spans="2:7" ht="24" customHeight="1" thickBot="1">
      <c r="B26" s="1109" t="s">
        <v>1203</v>
      </c>
      <c r="C26" s="1316" t="s">
        <v>1207</v>
      </c>
      <c r="D26" s="1317"/>
      <c r="E26" s="1093"/>
    </row>
    <row r="27" spans="2:7" ht="69.75" customHeight="1" thickTop="1">
      <c r="B27" s="1116" t="s">
        <v>1204</v>
      </c>
      <c r="C27" s="1318" t="s">
        <v>1205</v>
      </c>
      <c r="D27" s="1319"/>
      <c r="E27" s="1093"/>
    </row>
    <row r="28" spans="2:7" ht="23.25" customHeight="1">
      <c r="B28" s="1312" t="s">
        <v>1206</v>
      </c>
      <c r="C28" s="1320" t="s">
        <v>1113</v>
      </c>
      <c r="D28" s="1321"/>
      <c r="E28" s="1093"/>
    </row>
    <row r="29" spans="2:7" ht="23.25" customHeight="1">
      <c r="B29" s="1313"/>
      <c r="C29" s="1322" t="s">
        <v>655</v>
      </c>
      <c r="D29" s="1323"/>
      <c r="E29" s="1093"/>
    </row>
    <row r="30" spans="2:7" ht="23.25" customHeight="1">
      <c r="B30" s="1313"/>
      <c r="C30" s="1322" t="s">
        <v>648</v>
      </c>
      <c r="D30" s="1323"/>
      <c r="E30" s="1093"/>
    </row>
    <row r="31" spans="2:7" ht="23.25" customHeight="1">
      <c r="B31" s="1313"/>
      <c r="C31" s="1322" t="s">
        <v>1109</v>
      </c>
      <c r="D31" s="1323"/>
      <c r="E31" s="1093"/>
    </row>
    <row r="32" spans="2:7" ht="23.25" customHeight="1">
      <c r="B32" s="1313"/>
      <c r="C32" s="1322" t="s">
        <v>649</v>
      </c>
      <c r="D32" s="1323"/>
      <c r="E32" s="1093"/>
    </row>
    <row r="33" spans="2:5" ht="23.25" customHeight="1">
      <c r="B33" s="1313"/>
      <c r="C33" s="1322" t="s">
        <v>650</v>
      </c>
      <c r="D33" s="1323"/>
      <c r="E33" s="1093"/>
    </row>
    <row r="34" spans="2:5" ht="23.25" customHeight="1">
      <c r="B34" s="1313"/>
      <c r="C34" s="1322" t="s">
        <v>651</v>
      </c>
      <c r="D34" s="1323"/>
      <c r="E34" s="1093"/>
    </row>
    <row r="35" spans="2:5" ht="23.25" customHeight="1">
      <c r="B35" s="1313"/>
      <c r="C35" s="1322" t="s">
        <v>1110</v>
      </c>
      <c r="D35" s="1323"/>
      <c r="E35" s="1093"/>
    </row>
    <row r="36" spans="2:5" ht="23.25" customHeight="1">
      <c r="B36" s="1313"/>
      <c r="C36" s="1322" t="s">
        <v>1111</v>
      </c>
      <c r="D36" s="1323"/>
      <c r="E36" s="1093"/>
    </row>
    <row r="37" spans="2:5" ht="23.25" customHeight="1">
      <c r="B37" s="1314"/>
      <c r="C37" s="1119" t="s">
        <v>652</v>
      </c>
      <c r="D37" s="1120"/>
      <c r="E37" s="1093"/>
    </row>
    <row r="38" spans="2:5" ht="23.25" customHeight="1">
      <c r="B38" s="1312" t="s">
        <v>1208</v>
      </c>
      <c r="C38" s="1117" t="s">
        <v>1210</v>
      </c>
      <c r="D38" s="1118"/>
      <c r="E38" s="1093"/>
    </row>
    <row r="39" spans="2:5" ht="23.25" customHeight="1">
      <c r="B39" s="1313"/>
      <c r="C39" s="1117" t="s">
        <v>1209</v>
      </c>
      <c r="D39" s="1118"/>
      <c r="E39" s="1093"/>
    </row>
    <row r="40" spans="2:5" ht="23.25" customHeight="1">
      <c r="B40" s="1313"/>
      <c r="C40" s="1117" t="s">
        <v>1211</v>
      </c>
      <c r="D40" s="1118"/>
      <c r="E40" s="1093"/>
    </row>
    <row r="41" spans="2:5" s="1122" customFormat="1" ht="41.25" customHeight="1" thickBot="1">
      <c r="B41" s="1315"/>
      <c r="C41" s="1324" t="s">
        <v>1308</v>
      </c>
      <c r="D41" s="1325"/>
      <c r="E41" s="1121"/>
    </row>
    <row r="42" spans="2:5" ht="24" customHeight="1">
      <c r="C42" s="1092"/>
    </row>
    <row r="43" spans="2:5" ht="24" customHeight="1">
      <c r="C43" s="1092"/>
    </row>
    <row r="44" spans="2:5" ht="24" customHeight="1">
      <c r="C44" s="1092"/>
    </row>
    <row r="45" spans="2:5" ht="24" customHeight="1">
      <c r="C45" s="1092"/>
    </row>
    <row r="46" spans="2:5" ht="24" customHeight="1">
      <c r="C46" s="1092"/>
    </row>
    <row r="47" spans="2:5" ht="24" customHeight="1">
      <c r="C47" s="1092"/>
    </row>
  </sheetData>
  <sheetProtection algorithmName="SHA-512" hashValue="WKM9/VzPmYEzf1q8lyM7AAaLGMFhnSnR1/RFx8R34tFEYeEH289y++j/YPnnDkPdSlYpZcIS53Y6EqdM2eqAvQ==" saltValue="9pNz+dwEDFwmLUEu3mOdmw==" spinCount="100000" sheet="1" objects="1" scenarios="1"/>
  <mergeCells count="14">
    <mergeCell ref="B28:B37"/>
    <mergeCell ref="B38:B41"/>
    <mergeCell ref="C26:D26"/>
    <mergeCell ref="C27:D27"/>
    <mergeCell ref="C28:D28"/>
    <mergeCell ref="C29:D29"/>
    <mergeCell ref="C30:D30"/>
    <mergeCell ref="C31:D31"/>
    <mergeCell ref="C32:D32"/>
    <mergeCell ref="C33:D33"/>
    <mergeCell ref="C34:D34"/>
    <mergeCell ref="C35:D35"/>
    <mergeCell ref="C36:D36"/>
    <mergeCell ref="C41:D41"/>
  </mergeCells>
  <phoneticPr fontId="1"/>
  <dataValidations count="1">
    <dataValidation type="list" allowBlank="1" showInputMessage="1" showErrorMessage="1" sqref="WVA983056 WLE983056 WBI983056 VRM983056 VHQ983056 UXU983056 UNY983056 UEC983056 TUG983056 TKK983056 TAO983056 SQS983056 SGW983056 RXA983056 RNE983056 RDI983056 QTM983056 QJQ983056 PZU983056 PPY983056 PGC983056 OWG983056 OMK983056 OCO983056 NSS983056 NIW983056 MZA983056 MPE983056 MFI983056 LVM983056 LLQ983056 LBU983056 KRY983056 KIC983056 JYG983056 JOK983056 JEO983056 IUS983056 IKW983056 IBA983056 HRE983056 HHI983056 GXM983056 GNQ983056 GDU983056 FTY983056 FKC983056 FAG983056 EQK983056 EGO983056 DWS983056 DMW983056 DDA983056 CTE983056 CJI983056 BZM983056 BPQ983056 BFU983056 AVY983056 AMC983056 ACG983056 SK983056 IO983056 C983046 WVA917520 WLE917520 WBI917520 VRM917520 VHQ917520 UXU917520 UNY917520 UEC917520 TUG917520 TKK917520 TAO917520 SQS917520 SGW917520 RXA917520 RNE917520 RDI917520 QTM917520 QJQ917520 PZU917520 PPY917520 PGC917520 OWG917520 OMK917520 OCO917520 NSS917520 NIW917520 MZA917520 MPE917520 MFI917520 LVM917520 LLQ917520 LBU917520 KRY917520 KIC917520 JYG917520 JOK917520 JEO917520 IUS917520 IKW917520 IBA917520 HRE917520 HHI917520 GXM917520 GNQ917520 GDU917520 FTY917520 FKC917520 FAG917520 EQK917520 EGO917520 DWS917520 DMW917520 DDA917520 CTE917520 CJI917520 BZM917520 BPQ917520 BFU917520 AVY917520 AMC917520 ACG917520 SK917520 IO917520 C917510 WVA851984 WLE851984 WBI851984 VRM851984 VHQ851984 UXU851984 UNY851984 UEC851984 TUG851984 TKK851984 TAO851984 SQS851984 SGW851984 RXA851984 RNE851984 RDI851984 QTM851984 QJQ851984 PZU851984 PPY851984 PGC851984 OWG851984 OMK851984 OCO851984 NSS851984 NIW851984 MZA851984 MPE851984 MFI851984 LVM851984 LLQ851984 LBU851984 KRY851984 KIC851984 JYG851984 JOK851984 JEO851984 IUS851984 IKW851984 IBA851984 HRE851984 HHI851984 GXM851984 GNQ851984 GDU851984 FTY851984 FKC851984 FAG851984 EQK851984 EGO851984 DWS851984 DMW851984 DDA851984 CTE851984 CJI851984 BZM851984 BPQ851984 BFU851984 AVY851984 AMC851984 ACG851984 SK851984 IO851984 C851974 WVA786448 WLE786448 WBI786448 VRM786448 VHQ786448 UXU786448 UNY786448 UEC786448 TUG786448 TKK786448 TAO786448 SQS786448 SGW786448 RXA786448 RNE786448 RDI786448 QTM786448 QJQ786448 PZU786448 PPY786448 PGC786448 OWG786448 OMK786448 OCO786448 NSS786448 NIW786448 MZA786448 MPE786448 MFI786448 LVM786448 LLQ786448 LBU786448 KRY786448 KIC786448 JYG786448 JOK786448 JEO786448 IUS786448 IKW786448 IBA786448 HRE786448 HHI786448 GXM786448 GNQ786448 GDU786448 FTY786448 FKC786448 FAG786448 EQK786448 EGO786448 DWS786448 DMW786448 DDA786448 CTE786448 CJI786448 BZM786448 BPQ786448 BFU786448 AVY786448 AMC786448 ACG786448 SK786448 IO786448 C786438 WVA720912 WLE720912 WBI720912 VRM720912 VHQ720912 UXU720912 UNY720912 UEC720912 TUG720912 TKK720912 TAO720912 SQS720912 SGW720912 RXA720912 RNE720912 RDI720912 QTM720912 QJQ720912 PZU720912 PPY720912 PGC720912 OWG720912 OMK720912 OCO720912 NSS720912 NIW720912 MZA720912 MPE720912 MFI720912 LVM720912 LLQ720912 LBU720912 KRY720912 KIC720912 JYG720912 JOK720912 JEO720912 IUS720912 IKW720912 IBA720912 HRE720912 HHI720912 GXM720912 GNQ720912 GDU720912 FTY720912 FKC720912 FAG720912 EQK720912 EGO720912 DWS720912 DMW720912 DDA720912 CTE720912 CJI720912 BZM720912 BPQ720912 BFU720912 AVY720912 AMC720912 ACG720912 SK720912 IO720912 C720902 WVA655376 WLE655376 WBI655376 VRM655376 VHQ655376 UXU655376 UNY655376 UEC655376 TUG655376 TKK655376 TAO655376 SQS655376 SGW655376 RXA655376 RNE655376 RDI655376 QTM655376 QJQ655376 PZU655376 PPY655376 PGC655376 OWG655376 OMK655376 OCO655376 NSS655376 NIW655376 MZA655376 MPE655376 MFI655376 LVM655376 LLQ655376 LBU655376 KRY655376 KIC655376 JYG655376 JOK655376 JEO655376 IUS655376 IKW655376 IBA655376 HRE655376 HHI655376 GXM655376 GNQ655376 GDU655376 FTY655376 FKC655376 FAG655376 EQK655376 EGO655376 DWS655376 DMW655376 DDA655376 CTE655376 CJI655376 BZM655376 BPQ655376 BFU655376 AVY655376 AMC655376 ACG655376 SK655376 IO655376 C655366 WVA589840 WLE589840 WBI589840 VRM589840 VHQ589840 UXU589840 UNY589840 UEC589840 TUG589840 TKK589840 TAO589840 SQS589840 SGW589840 RXA589840 RNE589840 RDI589840 QTM589840 QJQ589840 PZU589840 PPY589840 PGC589840 OWG589840 OMK589840 OCO589840 NSS589840 NIW589840 MZA589840 MPE589840 MFI589840 LVM589840 LLQ589840 LBU589840 KRY589840 KIC589840 JYG589840 JOK589840 JEO589840 IUS589840 IKW589840 IBA589840 HRE589840 HHI589840 GXM589840 GNQ589840 GDU589840 FTY589840 FKC589840 FAG589840 EQK589840 EGO589840 DWS589840 DMW589840 DDA589840 CTE589840 CJI589840 BZM589840 BPQ589840 BFU589840 AVY589840 AMC589840 ACG589840 SK589840 IO589840 C589830 WVA524304 WLE524304 WBI524304 VRM524304 VHQ524304 UXU524304 UNY524304 UEC524304 TUG524304 TKK524304 TAO524304 SQS524304 SGW524304 RXA524304 RNE524304 RDI524304 QTM524304 QJQ524304 PZU524304 PPY524304 PGC524304 OWG524304 OMK524304 OCO524304 NSS524304 NIW524304 MZA524304 MPE524304 MFI524304 LVM524304 LLQ524304 LBU524304 KRY524304 KIC524304 JYG524304 JOK524304 JEO524304 IUS524304 IKW524304 IBA524304 HRE524304 HHI524304 GXM524304 GNQ524304 GDU524304 FTY524304 FKC524304 FAG524304 EQK524304 EGO524304 DWS524304 DMW524304 DDA524304 CTE524304 CJI524304 BZM524304 BPQ524304 BFU524304 AVY524304 AMC524304 ACG524304 SK524304 IO524304 C524294 WVA458768 WLE458768 WBI458768 VRM458768 VHQ458768 UXU458768 UNY458768 UEC458768 TUG458768 TKK458768 TAO458768 SQS458768 SGW458768 RXA458768 RNE458768 RDI458768 QTM458768 QJQ458768 PZU458768 PPY458768 PGC458768 OWG458768 OMK458768 OCO458768 NSS458768 NIW458768 MZA458768 MPE458768 MFI458768 LVM458768 LLQ458768 LBU458768 KRY458768 KIC458768 JYG458768 JOK458768 JEO458768 IUS458768 IKW458768 IBA458768 HRE458768 HHI458768 GXM458768 GNQ458768 GDU458768 FTY458768 FKC458768 FAG458768 EQK458768 EGO458768 DWS458768 DMW458768 DDA458768 CTE458768 CJI458768 BZM458768 BPQ458768 BFU458768 AVY458768 AMC458768 ACG458768 SK458768 IO458768 C458758 WVA393232 WLE393232 WBI393232 VRM393232 VHQ393232 UXU393232 UNY393232 UEC393232 TUG393232 TKK393232 TAO393232 SQS393232 SGW393232 RXA393232 RNE393232 RDI393232 QTM393232 QJQ393232 PZU393232 PPY393232 PGC393232 OWG393232 OMK393232 OCO393232 NSS393232 NIW393232 MZA393232 MPE393232 MFI393232 LVM393232 LLQ393232 LBU393232 KRY393232 KIC393232 JYG393232 JOK393232 JEO393232 IUS393232 IKW393232 IBA393232 HRE393232 HHI393232 GXM393232 GNQ393232 GDU393232 FTY393232 FKC393232 FAG393232 EQK393232 EGO393232 DWS393232 DMW393232 DDA393232 CTE393232 CJI393232 BZM393232 BPQ393232 BFU393232 AVY393232 AMC393232 ACG393232 SK393232 IO393232 C393222 WVA327696 WLE327696 WBI327696 VRM327696 VHQ327696 UXU327696 UNY327696 UEC327696 TUG327696 TKK327696 TAO327696 SQS327696 SGW327696 RXA327696 RNE327696 RDI327696 QTM327696 QJQ327696 PZU327696 PPY327696 PGC327696 OWG327696 OMK327696 OCO327696 NSS327696 NIW327696 MZA327696 MPE327696 MFI327696 LVM327696 LLQ327696 LBU327696 KRY327696 KIC327696 JYG327696 JOK327696 JEO327696 IUS327696 IKW327696 IBA327696 HRE327696 HHI327696 GXM327696 GNQ327696 GDU327696 FTY327696 FKC327696 FAG327696 EQK327696 EGO327696 DWS327696 DMW327696 DDA327696 CTE327696 CJI327696 BZM327696 BPQ327696 BFU327696 AVY327696 AMC327696 ACG327696 SK327696 IO327696 C327686 WVA262160 WLE262160 WBI262160 VRM262160 VHQ262160 UXU262160 UNY262160 UEC262160 TUG262160 TKK262160 TAO262160 SQS262160 SGW262160 RXA262160 RNE262160 RDI262160 QTM262160 QJQ262160 PZU262160 PPY262160 PGC262160 OWG262160 OMK262160 OCO262160 NSS262160 NIW262160 MZA262160 MPE262160 MFI262160 LVM262160 LLQ262160 LBU262160 KRY262160 KIC262160 JYG262160 JOK262160 JEO262160 IUS262160 IKW262160 IBA262160 HRE262160 HHI262160 GXM262160 GNQ262160 GDU262160 FTY262160 FKC262160 FAG262160 EQK262160 EGO262160 DWS262160 DMW262160 DDA262160 CTE262160 CJI262160 BZM262160 BPQ262160 BFU262160 AVY262160 AMC262160 ACG262160 SK262160 IO262160 C262150 WVA196624 WLE196624 WBI196624 VRM196624 VHQ196624 UXU196624 UNY196624 UEC196624 TUG196624 TKK196624 TAO196624 SQS196624 SGW196624 RXA196624 RNE196624 RDI196624 QTM196624 QJQ196624 PZU196624 PPY196624 PGC196624 OWG196624 OMK196624 OCO196624 NSS196624 NIW196624 MZA196624 MPE196624 MFI196624 LVM196624 LLQ196624 LBU196624 KRY196624 KIC196624 JYG196624 JOK196624 JEO196624 IUS196624 IKW196624 IBA196624 HRE196624 HHI196624 GXM196624 GNQ196624 GDU196624 FTY196624 FKC196624 FAG196624 EQK196624 EGO196624 DWS196624 DMW196624 DDA196624 CTE196624 CJI196624 BZM196624 BPQ196624 BFU196624 AVY196624 AMC196624 ACG196624 SK196624 IO196624 C196614 WVA131088 WLE131088 WBI131088 VRM131088 VHQ131088 UXU131088 UNY131088 UEC131088 TUG131088 TKK131088 TAO131088 SQS131088 SGW131088 RXA131088 RNE131088 RDI131088 QTM131088 QJQ131088 PZU131088 PPY131088 PGC131088 OWG131088 OMK131088 OCO131088 NSS131088 NIW131088 MZA131088 MPE131088 MFI131088 LVM131088 LLQ131088 LBU131088 KRY131088 KIC131088 JYG131088 JOK131088 JEO131088 IUS131088 IKW131088 IBA131088 HRE131088 HHI131088 GXM131088 GNQ131088 GDU131088 FTY131088 FKC131088 FAG131088 EQK131088 EGO131088 DWS131088 DMW131088 DDA131088 CTE131088 CJI131088 BZM131088 BPQ131088 BFU131088 AVY131088 AMC131088 ACG131088 SK131088 IO131088 C131078 WVA65552 WLE65552 WBI65552 VRM65552 VHQ65552 UXU65552 UNY65552 UEC65552 TUG65552 TKK65552 TAO65552 SQS65552 SGW65552 RXA65552 RNE65552 RDI65552 QTM65552 QJQ65552 PZU65552 PPY65552 PGC65552 OWG65552 OMK65552 OCO65552 NSS65552 NIW65552 MZA65552 MPE65552 MFI65552 LVM65552 LLQ65552 LBU65552 KRY65552 KIC65552 JYG65552 JOK65552 JEO65552 IUS65552 IKW65552 IBA65552 HRE65552 HHI65552 GXM65552 GNQ65552 GDU65552 FTY65552 FKC65552 FAG65552 EQK65552 EGO65552 DWS65552 DMW65552 DDA65552 CTE65552 CJI65552 BZM65552 BPQ65552 BFU65552 AVY65552 AMC65552 ACG65552 SK65552 IO65552 C65542 IN27:IN34 SJ27:SJ34 ACF27:ACF34 AMB27:AMB34 AVX27:AVX34 BFT27:BFT34 BPP27:BPP34 BZL27:BZL34 CJH27:CJH34 CTD27:CTD34 DCZ27:DCZ34 DMV27:DMV34 DWR27:DWR34 EGN27:EGN34 EQJ27:EQJ34 FAF27:FAF34 FKB27:FKB34 FTX27:FTX34 GDT27:GDT34 GNP27:GNP34 GXL27:GXL34 HHH27:HHH34 HRD27:HRD34 IAZ27:IAZ34 IKV27:IKV34 IUR27:IUR34 JEN27:JEN34 JOJ27:JOJ34 JYF27:JYF34 KIB27:KIB34 KRX27:KRX34 LBT27:LBT34 LLP27:LLP34 LVL27:LVL34 MFH27:MFH34 MPD27:MPD34 MYZ27:MYZ34 NIV27:NIV34 NSR27:NSR34 OCN27:OCN34 OMJ27:OMJ34 OWF27:OWF34 PGB27:PGB34 PPX27:PPX34 PZT27:PZT34 QJP27:QJP34 QTL27:QTL34 RDH27:RDH34 RND27:RND34 RWZ27:RWZ34 SGV27:SGV34 SQR27:SQR34 TAN27:TAN34 TKJ27:TKJ34 TUF27:TUF34 UEB27:UEB34 UNX27:UNX34 UXT27:UXT34 VHP27:VHP34 VRL27:VRL34 WBH27:WBH34 WLD27:WLD34 WUZ27:WUZ34" xr:uid="{00000000-0002-0000-0300-000000000000}">
      <formula1>#REF!</formula1>
    </dataValidation>
  </dataValidations>
  <hyperlinks>
    <hyperlink ref="C11" r:id="rId1" xr:uid="{00000000-0004-0000-0300-000000000000}"/>
    <hyperlink ref="C22" r:id="rId2" xr:uid="{00000000-0004-0000-0300-000001000000}"/>
  </hyperlinks>
  <pageMargins left="0.39370078740157483" right="0" top="0.98425196850393704" bottom="0.98425196850393704" header="0.51181102362204722" footer="0.51181102362204722"/>
  <pageSetup paperSize="9" scale="65" orientation="portrait" r:id="rId3"/>
  <headerFooter alignWithMargins="0"/>
  <colBreaks count="1" manualBreakCount="1">
    <brk id="6" max="2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tabColor rgb="FFFF99FF"/>
  </sheetPr>
  <dimension ref="B1:M103"/>
  <sheetViews>
    <sheetView showGridLines="0" view="pageBreakPreview" zoomScale="115" zoomScaleNormal="100" zoomScaleSheetLayoutView="115" workbookViewId="0">
      <selection activeCell="D24" sqref="D24"/>
    </sheetView>
  </sheetViews>
  <sheetFormatPr defaultRowHeight="13.5" outlineLevelCol="1"/>
  <cols>
    <col min="1" max="1" width="2.75" style="176" customWidth="1"/>
    <col min="2" max="2" width="20.5" style="176" customWidth="1"/>
    <col min="3" max="3" width="32.375" style="176" customWidth="1"/>
    <col min="4" max="4" width="52" style="176" customWidth="1"/>
    <col min="5" max="8" width="9" style="176" hidden="1" customWidth="1" outlineLevel="1"/>
    <col min="9" max="9" width="9.5" style="176" hidden="1" customWidth="1" outlineLevel="1"/>
    <col min="10" max="12" width="9" style="176" hidden="1" customWidth="1" outlineLevel="1"/>
    <col min="13" max="13" width="9" style="176" collapsed="1"/>
    <col min="14" max="16384" width="9" style="176"/>
  </cols>
  <sheetData>
    <row r="1" spans="2:10" ht="18" thickBot="1">
      <c r="B1" s="1217" t="s">
        <v>1194</v>
      </c>
      <c r="C1" s="1218"/>
      <c r="D1"/>
      <c r="E1" s="1219" t="s">
        <v>84</v>
      </c>
      <c r="F1" s="1220" t="s">
        <v>1272</v>
      </c>
      <c r="G1" s="1219" t="s">
        <v>1273</v>
      </c>
      <c r="H1"/>
      <c r="I1"/>
      <c r="J1"/>
    </row>
    <row r="2" spans="2:10" ht="15.75" customHeight="1">
      <c r="B2" s="1221" t="s">
        <v>1196</v>
      </c>
      <c r="C2" s="1222" t="s">
        <v>1274</v>
      </c>
      <c r="D2"/>
      <c r="E2" s="1219" t="str">
        <f>【様式１】総括表・個票!I10&amp;"月"</f>
        <v>月</v>
      </c>
      <c r="F2" s="1220" t="e">
        <f>VLOOKUP(【様式１】総括表・個票!D12,'施設状況(要更新)'!$F$4:$S$189,14,FALSE)</f>
        <v>#N/A</v>
      </c>
      <c r="G2" s="1219">
        <f>【様式１】総括表・個票!D12</f>
        <v>0</v>
      </c>
      <c r="H2"/>
      <c r="I2"/>
      <c r="J2"/>
    </row>
    <row r="3" spans="2:10" ht="15.75" customHeight="1" thickBot="1">
      <c r="B3" s="1232" t="s">
        <v>1189</v>
      </c>
      <c r="C3" s="1243" t="e">
        <f>"【問合せ】"&amp;E2&amp;"加算"&amp;F2&amp;G2</f>
        <v>#N/A</v>
      </c>
      <c r="D3" s="1245" t="s">
        <v>1301</v>
      </c>
      <c r="E3" s="1224"/>
      <c r="F3"/>
      <c r="G3"/>
      <c r="H3"/>
      <c r="I3"/>
      <c r="J3"/>
    </row>
    <row r="4" spans="2:10" ht="15.75" customHeight="1">
      <c r="B4" s="1225" t="s">
        <v>1275</v>
      </c>
      <c r="C4" s="1226"/>
      <c r="D4" s="1246"/>
      <c r="E4"/>
      <c r="F4"/>
      <c r="G4"/>
      <c r="H4"/>
      <c r="I4"/>
      <c r="J4"/>
    </row>
    <row r="5" spans="2:10" ht="15.75" customHeight="1" thickBot="1">
      <c r="B5" s="1227" t="s">
        <v>1276</v>
      </c>
      <c r="C5" s="1228"/>
      <c r="D5" s="1247"/>
      <c r="E5"/>
      <c r="F5"/>
      <c r="G5"/>
      <c r="H5"/>
      <c r="I5"/>
      <c r="J5"/>
    </row>
    <row r="6" spans="2:10" ht="16.5" customHeight="1">
      <c r="B6" s="1229" t="s">
        <v>1188</v>
      </c>
      <c r="C6" s="1230" t="s">
        <v>1274</v>
      </c>
      <c r="D6" s="1248"/>
      <c r="E6"/>
      <c r="F6"/>
      <c r="G6"/>
      <c r="H6"/>
      <c r="I6"/>
      <c r="J6"/>
    </row>
    <row r="7" spans="2:10" ht="16.5" customHeight="1">
      <c r="B7" s="1223" t="s">
        <v>1189</v>
      </c>
      <c r="C7" s="1231" t="e">
        <f>"【提出】"&amp;E2&amp;"加算"&amp;F2&amp;G2</f>
        <v>#N/A</v>
      </c>
      <c r="D7" s="1245" t="s">
        <v>1301</v>
      </c>
      <c r="E7"/>
      <c r="F7"/>
      <c r="G7"/>
      <c r="H7"/>
      <c r="I7"/>
      <c r="J7"/>
    </row>
    <row r="8" spans="2:10" ht="16.5" customHeight="1">
      <c r="B8" s="1250" t="s">
        <v>1190</v>
      </c>
      <c r="C8" s="1251" t="s">
        <v>1277</v>
      </c>
      <c r="D8" s="1245" t="s">
        <v>1303</v>
      </c>
      <c r="E8"/>
      <c r="F8"/>
      <c r="G8"/>
      <c r="H8"/>
      <c r="I8"/>
      <c r="J8"/>
    </row>
    <row r="9" spans="2:10" ht="16.5" customHeight="1">
      <c r="B9" s="1252" t="s">
        <v>1306</v>
      </c>
      <c r="C9" s="1253" t="e">
        <f>E2&amp;"加算"&amp;F2&amp;G2</f>
        <v>#N/A</v>
      </c>
      <c r="D9" s="1245" t="s">
        <v>1302</v>
      </c>
      <c r="E9"/>
      <c r="F9"/>
      <c r="G9"/>
      <c r="H9"/>
      <c r="I9"/>
      <c r="J9"/>
    </row>
    <row r="10" spans="2:10" ht="17.25" customHeight="1" thickBot="1">
      <c r="B10" s="1244" t="s">
        <v>1304</v>
      </c>
      <c r="C10" s="1254" t="s">
        <v>1305</v>
      </c>
      <c r="D10" s="1246"/>
      <c r="E10"/>
      <c r="F10"/>
      <c r="G10"/>
      <c r="H10"/>
      <c r="I10"/>
      <c r="J10"/>
    </row>
    <row r="11" spans="2:10" ht="8.25" customHeight="1">
      <c r="B11" s="1249"/>
      <c r="C11" s="1263"/>
      <c r="D11" s="1246"/>
      <c r="E11"/>
      <c r="F11"/>
      <c r="G11"/>
      <c r="H11"/>
      <c r="I11"/>
      <c r="J11"/>
    </row>
    <row r="12" spans="2:10" ht="8.25" customHeight="1">
      <c r="B12" s="1249"/>
      <c r="C12" s="1264"/>
      <c r="D12" s="1246"/>
      <c r="E12"/>
      <c r="F12"/>
      <c r="G12"/>
      <c r="H12"/>
      <c r="I12"/>
      <c r="J12"/>
    </row>
    <row r="13" spans="2:10" ht="6" customHeight="1">
      <c r="B13" s="1249"/>
      <c r="C13" s="1262"/>
      <c r="D13" s="1246"/>
      <c r="E13"/>
      <c r="F13"/>
      <c r="G13"/>
      <c r="H13"/>
      <c r="I13"/>
      <c r="J13"/>
    </row>
    <row r="14" spans="2:10" ht="15.75" customHeight="1" thickBot="1">
      <c r="B14" s="1233"/>
      <c r="C14" s="1234" t="s">
        <v>1278</v>
      </c>
      <c r="D14" s="1235" t="s">
        <v>1279</v>
      </c>
      <c r="E14"/>
      <c r="F14"/>
      <c r="G14"/>
      <c r="H14"/>
      <c r="I14"/>
      <c r="J14"/>
    </row>
    <row r="15" spans="2:10" ht="15.75" customHeight="1">
      <c r="B15" s="1332" t="s">
        <v>1280</v>
      </c>
      <c r="C15" s="1329" t="str" cm="1">
        <f t="array" aca="1" ref="C15" ca="1">IFERROR(INDIRECT("G"&amp;SMALL($J$16:$J$28,ROW()/3-4)),"")</f>
        <v>休日保育加算</v>
      </c>
      <c r="D15" s="1236" t="e">
        <f ca="1">IF($C$15="","",$F$2&amp;"_"&amp;C15&amp;"添付書類①")</f>
        <v>#N/A</v>
      </c>
      <c r="E15"/>
      <c r="F15"/>
      <c r="G15" s="1237" t="s">
        <v>1281</v>
      </c>
      <c r="H15" s="1237" t="s">
        <v>1282</v>
      </c>
      <c r="I15" t="s">
        <v>1283</v>
      </c>
      <c r="J15" t="s">
        <v>92</v>
      </c>
    </row>
    <row r="16" spans="2:10" ht="15.75" customHeight="1">
      <c r="B16" s="1333"/>
      <c r="C16" s="1330"/>
      <c r="D16" s="1238" t="e">
        <f ca="1">IF($C$15="","",$F$2&amp;"_"&amp;C15&amp;"添付書類②")</f>
        <v>#N/A</v>
      </c>
      <c r="E16" t="b">
        <f ca="1">C15=""</f>
        <v>0</v>
      </c>
      <c r="F16"/>
      <c r="G16" s="1239" t="s">
        <v>126</v>
      </c>
      <c r="H16" t="str">
        <f>INDEX(【様式１】総括表・個票!$B$18:$B$41,MATCH(G16,【様式１】総括表・個票!$F$18:F$41,0))</f>
        <v>適用月エラー</v>
      </c>
      <c r="I16" s="1242" t="str">
        <f>IF(H16="エラー","×","○")</f>
        <v>○</v>
      </c>
      <c r="J16">
        <f>IF(I16="○",ROW(),"")</f>
        <v>16</v>
      </c>
    </row>
    <row r="17" spans="2:10" ht="15.75" customHeight="1" thickBot="1">
      <c r="B17" s="1334"/>
      <c r="C17" s="1331"/>
      <c r="D17" s="1240" t="e">
        <f ca="1">IF($C$15="","",$F$2&amp;"_"&amp;C15&amp;"添付書類③")</f>
        <v>#N/A</v>
      </c>
      <c r="E17" t="b">
        <f ca="1">E16</f>
        <v>0</v>
      </c>
      <c r="F17"/>
      <c r="G17" s="1239" t="s">
        <v>128</v>
      </c>
      <c r="H17" t="str">
        <f>INDEX(【様式１】総括表・個票!$B$18:$B$41,MATCH(G17,【様式１】総括表・個票!$F$18:F$41,0))</f>
        <v>適用月エラー</v>
      </c>
      <c r="I17" t="str">
        <f t="shared" ref="I17:I22" si="0">H17</f>
        <v>適用月エラー</v>
      </c>
      <c r="J17" t="str">
        <f t="shared" ref="J17:J23" si="1">IF(I17="○",ROW(),"")</f>
        <v/>
      </c>
    </row>
    <row r="18" spans="2:10" ht="15.75" customHeight="1">
      <c r="B18" s="1326" t="s">
        <v>1284</v>
      </c>
      <c r="C18" s="1329" t="str" cm="1">
        <f t="array" aca="1" ref="C18" ca="1">IFERROR(INDIRECT("G"&amp;SMALL($J$16:$J$28,ROW()/3-4)),"")</f>
        <v/>
      </c>
      <c r="D18" s="1236" t="e">
        <f ca="1">IF($C$15="","",$F$2&amp;"_"&amp;C18&amp;"添付書類①")</f>
        <v>#N/A</v>
      </c>
      <c r="E18" t="b">
        <f ca="1">E16</f>
        <v>0</v>
      </c>
      <c r="F18"/>
      <c r="G18" s="1239" t="s">
        <v>129</v>
      </c>
      <c r="H18" t="str">
        <f>INDEX(【様式１】総括表・個票!$B$18:$B$41,MATCH(G18,【様式１】総括表・個票!$F$18:F$41,0))</f>
        <v>適用月エラー</v>
      </c>
      <c r="I18" t="str">
        <f t="shared" si="0"/>
        <v>適用月エラー</v>
      </c>
      <c r="J18" t="str">
        <f t="shared" si="1"/>
        <v/>
      </c>
    </row>
    <row r="19" spans="2:10" ht="15.75" customHeight="1">
      <c r="B19" s="1327"/>
      <c r="C19" s="1330"/>
      <c r="D19" s="1238" t="e">
        <f ca="1">IF($C$15="","",$F$2&amp;"_"&amp;C18&amp;"添付書類②")</f>
        <v>#N/A</v>
      </c>
      <c r="E19" t="b">
        <f ca="1">C18=""</f>
        <v>1</v>
      </c>
      <c r="F19"/>
      <c r="G19" s="1239" t="s">
        <v>1300</v>
      </c>
      <c r="H19" t="str">
        <f>INDEX(【様式１】総括表・個票!$B$18:$B$41,MATCH(G19,【様式１】総括表・個票!$F$18:F$41,0))</f>
        <v>適用月エラー</v>
      </c>
      <c r="I19" s="1241" t="str">
        <f>IF(H19="×","○","×")</f>
        <v>×</v>
      </c>
      <c r="J19" t="str">
        <f t="shared" si="1"/>
        <v/>
      </c>
    </row>
    <row r="20" spans="2:10" ht="15.75" customHeight="1" thickBot="1">
      <c r="B20" s="1328"/>
      <c r="C20" s="1331"/>
      <c r="D20" s="1240" t="e">
        <f ca="1">IF($C$15="","",$F$2&amp;"_"&amp;C18&amp;"添付書類③")</f>
        <v>#N/A</v>
      </c>
      <c r="E20" t="b">
        <f ca="1">E19</f>
        <v>1</v>
      </c>
      <c r="F20"/>
      <c r="G20" s="1239" t="s">
        <v>1298</v>
      </c>
      <c r="H20" t="str">
        <f>INDEX(【様式１】総括表・個票!$B$18:$B$41,MATCH(G20,【様式１】総括表・個票!$F$18:F$41,0))</f>
        <v>適用月エラー</v>
      </c>
      <c r="I20" t="str">
        <f t="shared" si="0"/>
        <v>適用月エラー</v>
      </c>
      <c r="J20" t="str">
        <f t="shared" si="1"/>
        <v/>
      </c>
    </row>
    <row r="21" spans="2:10" ht="15.75" customHeight="1">
      <c r="B21" s="1326" t="s">
        <v>1285</v>
      </c>
      <c r="C21" s="1329" t="str" cm="1">
        <f t="array" aca="1" ref="C21" ca="1">IFERROR(INDIRECT("G"&amp;SMALL($J$16:$J$28,ROW()/3-4)),"")</f>
        <v/>
      </c>
      <c r="D21" s="1236" t="e">
        <f ca="1">IF($C$15="","",$F$2&amp;"_"&amp;C21&amp;"添付書類①")</f>
        <v>#N/A</v>
      </c>
      <c r="E21" t="b">
        <f ca="1">E19</f>
        <v>1</v>
      </c>
      <c r="F21"/>
      <c r="G21" s="1239" t="s">
        <v>1287</v>
      </c>
      <c r="H21" t="str">
        <f>INDEX(【様式１】総括表・個票!$B$18:$B$41,MATCH(G21,【様式１】総括表・個票!$F$18:F$41,0))</f>
        <v>適用月エラー</v>
      </c>
      <c r="I21" s="1241" t="str">
        <f>IF(OR(H21="特児",H21="その他"),"○","×")</f>
        <v>×</v>
      </c>
      <c r="J21" t="str">
        <f t="shared" si="1"/>
        <v/>
      </c>
    </row>
    <row r="22" spans="2:10" ht="15.75" customHeight="1">
      <c r="B22" s="1327"/>
      <c r="C22" s="1330"/>
      <c r="D22" s="1238" t="e">
        <f ca="1">IF($C$15="","",$F$2&amp;"_"&amp;C21&amp;"添付書類②")</f>
        <v>#N/A</v>
      </c>
      <c r="E22" t="b">
        <f ca="1">C21=""</f>
        <v>1</v>
      </c>
      <c r="F22"/>
      <c r="G22" s="1239" t="s">
        <v>1299</v>
      </c>
      <c r="H22" t="str">
        <f>INDEX(【様式１】総括表・個票!$B$18:$B$41,MATCH(G22,【様式１】総括表・個票!$F$18:F$41,0))</f>
        <v>適用月エラー</v>
      </c>
      <c r="I22" t="str">
        <f t="shared" si="0"/>
        <v>適用月エラー</v>
      </c>
      <c r="J22" t="str">
        <f t="shared" si="1"/>
        <v/>
      </c>
    </row>
    <row r="23" spans="2:10" ht="15.75" customHeight="1" thickBot="1">
      <c r="B23" s="1328"/>
      <c r="C23" s="1331"/>
      <c r="D23" s="1240" t="e">
        <f ca="1">IF($C$15="","",$F$2&amp;"_"&amp;C21&amp;"添付書類③")</f>
        <v>#N/A</v>
      </c>
      <c r="E23" t="b">
        <f ca="1">E22</f>
        <v>1</v>
      </c>
      <c r="F23"/>
      <c r="G23" s="1239" t="s">
        <v>1289</v>
      </c>
      <c r="H23" t="str">
        <f>INDEX(【様式１】総括表・個票!$B$18:$B$41,MATCH(G23,【様式１】総括表・個票!$F$18:F$41,0))</f>
        <v>適用月エラー</v>
      </c>
      <c r="I23" s="1241" t="str">
        <f>IF(H23="×","×",IF(H23="適用月エラー","×","○"))</f>
        <v>×</v>
      </c>
      <c r="J23" t="str">
        <f t="shared" si="1"/>
        <v/>
      </c>
    </row>
    <row r="24" spans="2:10" ht="15.75" customHeight="1">
      <c r="B24" s="1326" t="s">
        <v>1286</v>
      </c>
      <c r="C24" s="1329" t="str" cm="1">
        <f t="array" aca="1" ref="C24" ca="1">IFERROR(INDIRECT("G"&amp;SMALL($J$16:$J$28,ROW()/3-4)),"")</f>
        <v/>
      </c>
      <c r="D24" s="1236" t="e">
        <f ca="1">IF($C$15="","",$F$2&amp;"_"&amp;C24&amp;"添付書類①")</f>
        <v>#N/A</v>
      </c>
      <c r="E24" t="b">
        <f ca="1">E22</f>
        <v>1</v>
      </c>
      <c r="F24"/>
      <c r="G24" s="1239"/>
      <c r="H24"/>
      <c r="I24"/>
      <c r="J24"/>
    </row>
    <row r="25" spans="2:10" ht="15.75" customHeight="1">
      <c r="B25" s="1327"/>
      <c r="C25" s="1330"/>
      <c r="D25" s="1238" t="e">
        <f ca="1">IF($C$15="","",$F$2&amp;"_"&amp;C24&amp;"添付書類②")</f>
        <v>#N/A</v>
      </c>
      <c r="E25" t="b">
        <f ca="1">C24=""</f>
        <v>1</v>
      </c>
      <c r="F25"/>
      <c r="G25" s="1239"/>
      <c r="H25"/>
      <c r="I25"/>
      <c r="J25"/>
    </row>
    <row r="26" spans="2:10" ht="15.75" customHeight="1" thickBot="1">
      <c r="B26" s="1328"/>
      <c r="C26" s="1331"/>
      <c r="D26" s="1240" t="e">
        <f ca="1">IF($C$15="","",$F$2&amp;"_"&amp;C24&amp;"添付書類③")</f>
        <v>#N/A</v>
      </c>
      <c r="E26" t="b">
        <f ca="1">E25</f>
        <v>1</v>
      </c>
      <c r="F26"/>
      <c r="G26" s="1239"/>
      <c r="H26"/>
      <c r="I26"/>
      <c r="J26"/>
    </row>
    <row r="27" spans="2:10" ht="15.75" customHeight="1">
      <c r="B27" s="1326" t="s">
        <v>1288</v>
      </c>
      <c r="C27" s="1329" t="str" cm="1">
        <f t="array" aca="1" ref="C27" ca="1">IFERROR(INDIRECT("G"&amp;SMALL($J$16:$J$28,ROW()/3-4)),"")</f>
        <v/>
      </c>
      <c r="D27" s="1236" t="e">
        <f ca="1">IF($C$15="","",$F$2&amp;"_"&amp;C27&amp;"添付書類①")</f>
        <v>#N/A</v>
      </c>
      <c r="E27" t="b">
        <f ca="1">E25</f>
        <v>1</v>
      </c>
      <c r="F27"/>
      <c r="G27" s="1239"/>
      <c r="H27"/>
      <c r="I27"/>
      <c r="J27"/>
    </row>
    <row r="28" spans="2:10" ht="15.75" customHeight="1">
      <c r="B28" s="1327"/>
      <c r="C28" s="1330"/>
      <c r="D28" s="1238" t="e">
        <f ca="1">IF($C$15="","",$F$2&amp;"_"&amp;C27&amp;"添付書類②")</f>
        <v>#N/A</v>
      </c>
      <c r="E28" t="b">
        <f ca="1">C27=""</f>
        <v>1</v>
      </c>
      <c r="F28"/>
      <c r="G28" s="1239"/>
      <c r="H28"/>
      <c r="I28" s="1241"/>
      <c r="J28"/>
    </row>
    <row r="29" spans="2:10" ht="15.75" customHeight="1" thickBot="1">
      <c r="B29" s="1328"/>
      <c r="C29" s="1331"/>
      <c r="D29" s="1240" t="e">
        <f ca="1">IF($C$15="","",$F$2&amp;"_"&amp;C27&amp;"添付書類③")</f>
        <v>#N/A</v>
      </c>
      <c r="E29" t="b">
        <f ca="1">E28</f>
        <v>1</v>
      </c>
      <c r="F29"/>
      <c r="G29"/>
      <c r="H29"/>
      <c r="I29"/>
      <c r="J29"/>
    </row>
    <row r="30" spans="2:10" ht="15.75" customHeight="1">
      <c r="B30" s="1326" t="s">
        <v>1290</v>
      </c>
      <c r="C30" s="1329" t="str" cm="1">
        <f t="array" aca="1" ref="C30" ca="1">IFERROR(INDIRECT("G"&amp;SMALL($J$16:$J$28,ROW()/3-4)),"")</f>
        <v/>
      </c>
      <c r="D30" s="1236" t="e">
        <f ca="1">IF($C$15="","",$F$2&amp;"_"&amp;C30&amp;"添付書類①")</f>
        <v>#N/A</v>
      </c>
      <c r="E30" t="b">
        <f ca="1">E28</f>
        <v>1</v>
      </c>
      <c r="F30"/>
      <c r="G30"/>
      <c r="H30"/>
      <c r="I30"/>
      <c r="J30"/>
    </row>
    <row r="31" spans="2:10" ht="15.75" customHeight="1">
      <c r="B31" s="1327"/>
      <c r="C31" s="1330"/>
      <c r="D31" s="1238" t="e">
        <f ca="1">IF($C$15="","",$F$2&amp;"_"&amp;C30&amp;"添付書類②")</f>
        <v>#N/A</v>
      </c>
      <c r="E31" t="b">
        <f ca="1">C30=""</f>
        <v>1</v>
      </c>
      <c r="F31"/>
      <c r="G31"/>
      <c r="H31"/>
      <c r="I31"/>
      <c r="J31"/>
    </row>
    <row r="32" spans="2:10" ht="15.75" customHeight="1" thickBot="1">
      <c r="B32" s="1328"/>
      <c r="C32" s="1331"/>
      <c r="D32" s="1240" t="e">
        <f ca="1">IF($C$15="","",$F$2&amp;"_"&amp;C30&amp;"添付書類③")</f>
        <v>#N/A</v>
      </c>
      <c r="E32" t="b">
        <f ca="1">E31</f>
        <v>1</v>
      </c>
      <c r="F32"/>
      <c r="G32"/>
      <c r="H32"/>
      <c r="I32"/>
      <c r="J32"/>
    </row>
    <row r="33" spans="2:10" ht="15.75" customHeight="1">
      <c r="B33" s="1326" t="s">
        <v>1291</v>
      </c>
      <c r="C33" s="1329" t="str" cm="1">
        <f t="array" aca="1" ref="C33" ca="1">IFERROR(INDIRECT("G"&amp;SMALL($J$16:$J$28,ROW()/3-4)),"")</f>
        <v/>
      </c>
      <c r="D33" s="1236" t="e">
        <f ca="1">IF($C$15="","",$F$2&amp;"_"&amp;C33&amp;"添付書類①")</f>
        <v>#N/A</v>
      </c>
      <c r="E33" t="b">
        <f ca="1">E31</f>
        <v>1</v>
      </c>
      <c r="F33"/>
      <c r="G33"/>
      <c r="H33"/>
      <c r="I33"/>
      <c r="J33"/>
    </row>
    <row r="34" spans="2:10" ht="15.75" customHeight="1">
      <c r="B34" s="1327"/>
      <c r="C34" s="1330"/>
      <c r="D34" s="1238" t="e">
        <f ca="1">IF($C$15="","",$F$2&amp;"_"&amp;C33&amp;"添付書類②")</f>
        <v>#N/A</v>
      </c>
      <c r="E34" t="b">
        <f ca="1">C33=""</f>
        <v>1</v>
      </c>
      <c r="F34"/>
      <c r="G34"/>
      <c r="H34"/>
      <c r="I34"/>
      <c r="J34"/>
    </row>
    <row r="35" spans="2:10" ht="15.75" customHeight="1" thickBot="1">
      <c r="B35" s="1328"/>
      <c r="C35" s="1331"/>
      <c r="D35" s="1240" t="e">
        <f ca="1">IF($C$15="","",$F$2&amp;"_"&amp;C33&amp;"添付書類③")</f>
        <v>#N/A</v>
      </c>
      <c r="E35" t="b">
        <f ca="1">E34</f>
        <v>1</v>
      </c>
      <c r="F35"/>
      <c r="G35"/>
      <c r="H35"/>
      <c r="I35"/>
      <c r="J35"/>
    </row>
    <row r="36" spans="2:10" ht="15.75" customHeight="1">
      <c r="B36" s="1326" t="s">
        <v>1292</v>
      </c>
      <c r="C36" s="1329" t="str" cm="1">
        <f t="array" aca="1" ref="C36" ca="1">IFERROR(INDIRECT("G"&amp;SMALL($J$16:$J$28,ROW()/3-4)),"")</f>
        <v/>
      </c>
      <c r="D36" s="1236" t="e">
        <f ca="1">IF($C$15="","",$F$2&amp;"_"&amp;C36&amp;"添付書類①")</f>
        <v>#N/A</v>
      </c>
      <c r="E36" t="b">
        <f ca="1">E34</f>
        <v>1</v>
      </c>
      <c r="F36"/>
      <c r="G36"/>
      <c r="H36"/>
      <c r="I36"/>
      <c r="J36"/>
    </row>
    <row r="37" spans="2:10" ht="15.75" customHeight="1">
      <c r="B37" s="1327"/>
      <c r="C37" s="1330"/>
      <c r="D37" s="1238" t="e">
        <f ca="1">IF($C$15="","",$F$2&amp;"_"&amp;C36&amp;"添付書類②")</f>
        <v>#N/A</v>
      </c>
      <c r="E37" t="b">
        <f ca="1">C36=""</f>
        <v>1</v>
      </c>
      <c r="F37"/>
      <c r="G37"/>
      <c r="H37"/>
      <c r="I37"/>
      <c r="J37"/>
    </row>
    <row r="38" spans="2:10" ht="15.75" customHeight="1" thickBot="1">
      <c r="B38" s="1328"/>
      <c r="C38" s="1331"/>
      <c r="D38" s="1240" t="e">
        <f ca="1">IF($C$15="","",$F$2&amp;"_"&amp;C36&amp;"添付書類③")</f>
        <v>#N/A</v>
      </c>
      <c r="E38" t="b">
        <f ca="1">E37</f>
        <v>1</v>
      </c>
      <c r="F38"/>
      <c r="G38"/>
      <c r="H38"/>
      <c r="I38"/>
      <c r="J38"/>
    </row>
    <row r="39" spans="2:10" ht="15.75" customHeight="1">
      <c r="B39" s="1326" t="s">
        <v>1293</v>
      </c>
      <c r="C39" s="1329" t="str" cm="1">
        <f t="array" aca="1" ref="C39" ca="1">IFERROR(INDIRECT("G"&amp;SMALL($J$16:$J$28,ROW()/3-4)),"")</f>
        <v/>
      </c>
      <c r="D39" s="1236" t="e">
        <f ca="1">IF($C$15="","",$F$2&amp;"_"&amp;C39&amp;"添付書類①")</f>
        <v>#N/A</v>
      </c>
      <c r="E39" t="b">
        <f ca="1">E37</f>
        <v>1</v>
      </c>
      <c r="F39"/>
      <c r="G39"/>
      <c r="H39"/>
      <c r="I39"/>
      <c r="J39"/>
    </row>
    <row r="40" spans="2:10" ht="15.75" customHeight="1">
      <c r="B40" s="1327"/>
      <c r="C40" s="1330"/>
      <c r="D40" s="1238" t="e">
        <f ca="1">IF($C$15="","",$F$2&amp;"_"&amp;C39&amp;"添付書類②")</f>
        <v>#N/A</v>
      </c>
      <c r="E40" t="b">
        <f ca="1">C39=""</f>
        <v>1</v>
      </c>
      <c r="F40"/>
      <c r="G40"/>
      <c r="H40"/>
      <c r="I40"/>
      <c r="J40"/>
    </row>
    <row r="41" spans="2:10" ht="15.75" customHeight="1" thickBot="1">
      <c r="B41" s="1328"/>
      <c r="C41" s="1331"/>
      <c r="D41" s="1240" t="e">
        <f ca="1">IF($C$15="","",$F$2&amp;"_"&amp;C39&amp;"添付書類③")</f>
        <v>#N/A</v>
      </c>
      <c r="E41" t="b">
        <f ca="1">E40</f>
        <v>1</v>
      </c>
      <c r="F41"/>
      <c r="G41"/>
      <c r="H41"/>
      <c r="I41"/>
      <c r="J41"/>
    </row>
    <row r="42" spans="2:10" ht="15.75" customHeight="1">
      <c r="B42" s="1326" t="s">
        <v>1294</v>
      </c>
      <c r="C42" s="1329" t="str" cm="1">
        <f t="array" aca="1" ref="C42" ca="1">IFERROR(INDIRECT("G"&amp;SMALL($J$16:$J$28,ROW()/3-4)),"")</f>
        <v/>
      </c>
      <c r="D42" s="1236" t="e">
        <f ca="1">IF($C$15="","",$F$2&amp;"_"&amp;C42&amp;"添付書類①")</f>
        <v>#N/A</v>
      </c>
      <c r="E42" t="b">
        <f ca="1">E40</f>
        <v>1</v>
      </c>
      <c r="F42"/>
      <c r="G42"/>
      <c r="H42"/>
      <c r="I42"/>
      <c r="J42"/>
    </row>
    <row r="43" spans="2:10" ht="15.75" customHeight="1">
      <c r="B43" s="1327"/>
      <c r="C43" s="1330"/>
      <c r="D43" s="1238" t="e">
        <f ca="1">IF($C$15="","",$F$2&amp;"_"&amp;C42&amp;"添付書類②")</f>
        <v>#N/A</v>
      </c>
      <c r="E43" t="b">
        <f ca="1">C42=""</f>
        <v>1</v>
      </c>
      <c r="F43"/>
      <c r="G43"/>
      <c r="H43"/>
      <c r="I43"/>
      <c r="J43"/>
    </row>
    <row r="44" spans="2:10" ht="15.75" customHeight="1" thickBot="1">
      <c r="B44" s="1328"/>
      <c r="C44" s="1331"/>
      <c r="D44" s="1240" t="e">
        <f ca="1">IF($C$15="","",$F$2&amp;"_"&amp;C42&amp;"添付書類③")</f>
        <v>#N/A</v>
      </c>
      <c r="E44" t="b">
        <f ca="1">E43</f>
        <v>1</v>
      </c>
      <c r="F44"/>
      <c r="G44"/>
      <c r="H44"/>
      <c r="I44"/>
      <c r="J44"/>
    </row>
    <row r="45" spans="2:10" ht="15.75" customHeight="1">
      <c r="B45" s="1326" t="s">
        <v>1295</v>
      </c>
      <c r="C45" s="1329" t="str" cm="1">
        <f t="array" aca="1" ref="C45" ca="1">IFERROR(INDIRECT("G"&amp;SMALL($J$16:$J$28,ROW()/3-4)),"")</f>
        <v/>
      </c>
      <c r="D45" s="1236" t="e">
        <f ca="1">IF($C$15="","",$F$2&amp;"_"&amp;C45&amp;"添付書類①")</f>
        <v>#N/A</v>
      </c>
      <c r="E45" t="b">
        <f t="shared" ref="E45" ca="1" si="2">E43</f>
        <v>1</v>
      </c>
      <c r="F45"/>
      <c r="G45"/>
      <c r="H45"/>
      <c r="I45"/>
      <c r="J45"/>
    </row>
    <row r="46" spans="2:10" ht="15.75" customHeight="1">
      <c r="B46" s="1327"/>
      <c r="C46" s="1330"/>
      <c r="D46" s="1238" t="e">
        <f ca="1">IF($C$15="","",$F$2&amp;"_"&amp;C45&amp;"添付書類②")</f>
        <v>#N/A</v>
      </c>
      <c r="E46" t="b">
        <f t="shared" ref="E46" ca="1" si="3">C45=""</f>
        <v>1</v>
      </c>
      <c r="F46"/>
      <c r="G46"/>
      <c r="H46"/>
      <c r="I46"/>
      <c r="J46"/>
    </row>
    <row r="47" spans="2:10" ht="15.75" customHeight="1" thickBot="1">
      <c r="B47" s="1328"/>
      <c r="C47" s="1331"/>
      <c r="D47" s="1240" t="e">
        <f ca="1">IF($C$15="","",$F$2&amp;"_"&amp;C45&amp;"添付書類③")</f>
        <v>#N/A</v>
      </c>
      <c r="E47" t="b">
        <f t="shared" ref="E47" ca="1" si="4">E46</f>
        <v>1</v>
      </c>
      <c r="F47"/>
      <c r="G47"/>
      <c r="H47"/>
      <c r="I47"/>
      <c r="J47"/>
    </row>
    <row r="48" spans="2:10" ht="15.75" customHeight="1">
      <c r="B48" s="1326" t="s">
        <v>1296</v>
      </c>
      <c r="C48" s="1329" t="str" cm="1">
        <f t="array" aca="1" ref="C48" ca="1">IFERROR(INDIRECT("G"&amp;SMALL($J$16:$J$28,ROW()/3-4)),"")</f>
        <v/>
      </c>
      <c r="D48" s="1236" t="e">
        <f ca="1">IF($C$15="","",$F$2&amp;"_"&amp;C48&amp;"添付書類①")</f>
        <v>#N/A</v>
      </c>
      <c r="E48" t="b">
        <f t="shared" ref="E48" ca="1" si="5">E46</f>
        <v>1</v>
      </c>
      <c r="F48"/>
      <c r="G48"/>
      <c r="H48"/>
      <c r="I48"/>
      <c r="J48"/>
    </row>
    <row r="49" spans="2:10" ht="15.75" customHeight="1">
      <c r="B49" s="1327"/>
      <c r="C49" s="1330"/>
      <c r="D49" s="1238" t="e">
        <f ca="1">IF($C$15="","",$F$2&amp;"_"&amp;C48&amp;"添付書類②")</f>
        <v>#N/A</v>
      </c>
      <c r="E49" t="b">
        <f t="shared" ref="E49" ca="1" si="6">C48=""</f>
        <v>1</v>
      </c>
      <c r="F49"/>
      <c r="G49"/>
      <c r="H49"/>
      <c r="I49"/>
      <c r="J49"/>
    </row>
    <row r="50" spans="2:10" ht="15.75" customHeight="1" thickBot="1">
      <c r="B50" s="1328"/>
      <c r="C50" s="1331"/>
      <c r="D50" s="1240" t="e">
        <f ca="1">IF($C$15="","",$F$2&amp;"_"&amp;C48&amp;"添付書類③")</f>
        <v>#N/A</v>
      </c>
      <c r="E50" t="b">
        <f t="shared" ref="E50" ca="1" si="7">E49</f>
        <v>1</v>
      </c>
      <c r="F50"/>
      <c r="G50"/>
      <c r="H50"/>
      <c r="I50"/>
      <c r="J50"/>
    </row>
    <row r="51" spans="2:10" ht="15.75" customHeight="1">
      <c r="B51" s="1326" t="s">
        <v>1297</v>
      </c>
      <c r="C51" s="1329" t="str" cm="1">
        <f t="array" aca="1" ref="C51" ca="1">IFERROR(INDIRECT("G"&amp;SMALL($J$16:$J$28,ROW()/3-4)),"")</f>
        <v/>
      </c>
      <c r="D51" s="1236" t="e">
        <f ca="1">IF($C$15="","",$F$2&amp;"_"&amp;C51&amp;"添付書類①")</f>
        <v>#N/A</v>
      </c>
      <c r="E51" t="b">
        <f t="shared" ref="E51" ca="1" si="8">E49</f>
        <v>1</v>
      </c>
      <c r="F51"/>
      <c r="G51"/>
      <c r="H51"/>
      <c r="I51"/>
      <c r="J51"/>
    </row>
    <row r="52" spans="2:10" ht="15.75" customHeight="1">
      <c r="B52" s="1327"/>
      <c r="C52" s="1330"/>
      <c r="D52" s="1238" t="e">
        <f ca="1">IF($C$15="","",$F$2&amp;"_"&amp;C51&amp;"添付書類②")</f>
        <v>#N/A</v>
      </c>
      <c r="E52" t="b">
        <f t="shared" ref="E52" ca="1" si="9">C51=""</f>
        <v>1</v>
      </c>
      <c r="F52"/>
      <c r="G52"/>
      <c r="H52"/>
      <c r="I52"/>
      <c r="J52"/>
    </row>
    <row r="53" spans="2:10" ht="15.75" customHeight="1" thickBot="1">
      <c r="B53" s="1328"/>
      <c r="C53" s="1331"/>
      <c r="D53" s="1240" t="e">
        <f ca="1">IF($C$15="","",$F$2&amp;"_"&amp;C51&amp;"添付書類③")</f>
        <v>#N/A</v>
      </c>
      <c r="E53" t="b">
        <f t="shared" ref="E53" ca="1" si="10">E52</f>
        <v>1</v>
      </c>
      <c r="F53"/>
      <c r="G53"/>
      <c r="H53"/>
      <c r="I53"/>
      <c r="J53"/>
    </row>
    <row r="65" ht="13.5" customHeight="1"/>
    <row r="67" ht="13.5" customHeight="1"/>
    <row r="69" ht="13.5" customHeight="1"/>
    <row r="71" ht="13.5" customHeight="1"/>
    <row r="78" ht="13.5" customHeight="1"/>
    <row r="87" ht="13.5" customHeight="1"/>
    <row r="88"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sheetData>
  <sheetProtection algorithmName="SHA-512" hashValue="mKALSI7FLiu1ZjRwnFf/UcVScRmkZCnLBQMK5pgk9ddh+XPUbAEqiAzu5y53Dx5NEeApgO3O8QQYLqIzeNvF6w==" saltValue="J0h8wMU3PQ2Wdf9bcHDHIg==" spinCount="100000" sheet="1" objects="1" scenarios="1"/>
  <mergeCells count="26">
    <mergeCell ref="B48:B50"/>
    <mergeCell ref="C48:C50"/>
    <mergeCell ref="B51:B53"/>
    <mergeCell ref="C51:C53"/>
    <mergeCell ref="B33:B35"/>
    <mergeCell ref="C33:C35"/>
    <mergeCell ref="B36:B38"/>
    <mergeCell ref="C36:C38"/>
    <mergeCell ref="B45:B47"/>
    <mergeCell ref="C45:C47"/>
    <mergeCell ref="B39:B41"/>
    <mergeCell ref="C39:C41"/>
    <mergeCell ref="B42:B44"/>
    <mergeCell ref="C42:C44"/>
    <mergeCell ref="B15:B17"/>
    <mergeCell ref="C15:C17"/>
    <mergeCell ref="B18:B20"/>
    <mergeCell ref="C18:C20"/>
    <mergeCell ref="B21:B23"/>
    <mergeCell ref="C21:C23"/>
    <mergeCell ref="B24:B26"/>
    <mergeCell ref="C24:C26"/>
    <mergeCell ref="B27:B29"/>
    <mergeCell ref="C27:C29"/>
    <mergeCell ref="B30:B32"/>
    <mergeCell ref="C30:C32"/>
  </mergeCells>
  <phoneticPr fontId="1"/>
  <pageMargins left="0.7" right="0.7" top="0.75" bottom="0.75" header="0.3" footer="0.3"/>
  <pageSetup paperSize="9" scale="58" orientation="portrait" r:id="rId1"/>
  <rowBreaks count="1" manualBreakCount="1">
    <brk id="63" min="1" max="3" man="1"/>
  </rowBreaks>
  <colBreaks count="1" manualBreakCount="1">
    <brk id="4" max="11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tabColor rgb="FFFF0000"/>
    <pageSetUpPr fitToPage="1"/>
  </sheetPr>
  <dimension ref="A1:BO315"/>
  <sheetViews>
    <sheetView view="pageBreakPreview" zoomScaleNormal="100" zoomScaleSheetLayoutView="100" workbookViewId="0">
      <selection activeCell="A4" sqref="A4"/>
    </sheetView>
  </sheetViews>
  <sheetFormatPr defaultColWidth="9" defaultRowHeight="12" outlineLevelCol="1"/>
  <cols>
    <col min="1" max="21" width="2.875" style="95" customWidth="1"/>
    <col min="22" max="26" width="3.125" style="95" customWidth="1"/>
    <col min="27" max="33" width="2.875" style="95" customWidth="1"/>
    <col min="34" max="34" width="53.875" style="104" customWidth="1"/>
    <col min="35" max="35" width="9.5" style="95" hidden="1" customWidth="1" outlineLevel="1"/>
    <col min="36" max="38" width="9" style="95" hidden="1" customWidth="1" outlineLevel="1"/>
    <col min="39" max="39" width="13.25" style="95" hidden="1" customWidth="1" outlineLevel="1"/>
    <col min="40" max="64" width="9" style="95" hidden="1" customWidth="1" outlineLevel="1"/>
    <col min="65" max="65" width="9" style="95" collapsed="1"/>
    <col min="66" max="16384" width="9" style="95"/>
  </cols>
  <sheetData>
    <row r="1" spans="1:50" ht="15" customHeight="1" thickBot="1">
      <c r="A1" s="807" t="s">
        <v>603</v>
      </c>
      <c r="B1" s="808"/>
      <c r="C1" s="808"/>
      <c r="D1" s="808"/>
      <c r="E1" s="808"/>
      <c r="F1" s="808"/>
      <c r="G1" s="808"/>
      <c r="H1" s="808"/>
      <c r="I1" s="809"/>
      <c r="J1" s="809"/>
      <c r="K1" s="809"/>
      <c r="L1" s="809"/>
      <c r="M1" s="809"/>
      <c r="N1" s="809"/>
      <c r="O1" s="809"/>
      <c r="P1" s="809"/>
      <c r="Q1" s="809"/>
      <c r="R1" s="809"/>
      <c r="S1" s="809"/>
      <c r="T1" s="809"/>
      <c r="U1" s="809"/>
      <c r="V1" s="809"/>
      <c r="W1" s="809"/>
      <c r="X1" s="1612" t="str">
        <f>AJ2&amp;"様式１"&amp;AJ3</f>
        <v>加-23_月申-様式１-保_Ver.2.01</v>
      </c>
      <c r="Y1" s="1612"/>
      <c r="Z1" s="1612"/>
      <c r="AA1" s="1612"/>
      <c r="AB1" s="1612"/>
      <c r="AC1" s="1612"/>
      <c r="AD1" s="1612"/>
      <c r="AE1" s="1612"/>
      <c r="AF1" s="1612"/>
      <c r="AG1" s="1613"/>
      <c r="AJ1" s="97" t="s">
        <v>1019</v>
      </c>
      <c r="AK1" s="803" t="s">
        <v>76</v>
      </c>
      <c r="AL1" s="1610" t="s">
        <v>84</v>
      </c>
      <c r="AM1" s="1611"/>
      <c r="AN1" s="96" t="s">
        <v>235</v>
      </c>
      <c r="AO1" s="97" t="s">
        <v>236</v>
      </c>
      <c r="AP1" s="899" t="s">
        <v>83</v>
      </c>
      <c r="AQ1" s="97" t="s">
        <v>203</v>
      </c>
      <c r="AR1" s="97" t="s">
        <v>82</v>
      </c>
      <c r="AS1" s="1610" t="s">
        <v>483</v>
      </c>
      <c r="AT1" s="1611"/>
      <c r="AU1" s="97" t="s">
        <v>86</v>
      </c>
      <c r="AV1" s="97" t="s">
        <v>855</v>
      </c>
      <c r="AW1" s="97" t="s">
        <v>856</v>
      </c>
      <c r="AX1" s="97" t="s">
        <v>896</v>
      </c>
    </row>
    <row r="2" spans="1:50" ht="15" customHeight="1" thickTop="1" thickBot="1">
      <c r="A2" s="635"/>
      <c r="B2" s="636"/>
      <c r="C2" s="636"/>
      <c r="D2" s="636"/>
      <c r="E2" s="636"/>
      <c r="F2" s="636"/>
      <c r="G2" s="636"/>
      <c r="H2" s="636"/>
      <c r="I2" s="637"/>
      <c r="J2" s="637"/>
      <c r="K2" s="637"/>
      <c r="L2" s="637"/>
      <c r="M2" s="637"/>
      <c r="N2" s="637"/>
      <c r="O2" s="637"/>
      <c r="P2" s="637"/>
      <c r="Q2" s="637"/>
      <c r="R2" s="637"/>
      <c r="S2" s="637"/>
      <c r="T2" s="637"/>
      <c r="U2" s="637"/>
      <c r="V2" s="637"/>
      <c r="W2" s="637"/>
      <c r="X2" s="636"/>
      <c r="Y2" s="636"/>
      <c r="Z2" s="636"/>
      <c r="AA2" s="636"/>
      <c r="AB2" s="636"/>
      <c r="AC2" s="509"/>
      <c r="AD2" s="509"/>
      <c r="AE2" s="509"/>
      <c r="AF2" s="509"/>
      <c r="AG2" s="638"/>
      <c r="AJ2" s="96" t="str">
        <f>"加-"&amp;MID($AK$2,3,2)&amp;"_"&amp;$I$10&amp;"月"&amp;"申-"</f>
        <v>加-23_月申-</v>
      </c>
      <c r="AK2" s="1059">
        <v>2023</v>
      </c>
      <c r="AL2" s="86"/>
      <c r="AM2" s="97"/>
      <c r="AN2" s="96"/>
      <c r="AO2" s="97" t="s">
        <v>1123</v>
      </c>
      <c r="AP2" s="899"/>
      <c r="AQ2" s="97"/>
      <c r="AR2" s="97"/>
      <c r="AS2" s="98"/>
      <c r="AT2" s="98"/>
      <c r="AU2" s="97"/>
      <c r="AV2" s="97"/>
      <c r="AW2" s="97"/>
      <c r="AX2" s="97"/>
    </row>
    <row r="3" spans="1:50" ht="15" customHeight="1" thickTop="1">
      <c r="A3" s="1671" t="str">
        <f>+AK2&amp;"年度施設型給付費等にかかる加算（調整）適用申請書（試算様式）"</f>
        <v>2023年度施設型給付費等にかかる加算（調整）適用申請書（試算様式）</v>
      </c>
      <c r="B3" s="1672"/>
      <c r="C3" s="1672"/>
      <c r="D3" s="1672"/>
      <c r="E3" s="1672"/>
      <c r="F3" s="1672"/>
      <c r="G3" s="1672"/>
      <c r="H3" s="1672"/>
      <c r="I3" s="1672"/>
      <c r="J3" s="1672"/>
      <c r="K3" s="1672"/>
      <c r="L3" s="1672"/>
      <c r="M3" s="1672"/>
      <c r="N3" s="1672"/>
      <c r="O3" s="1672"/>
      <c r="P3" s="1672"/>
      <c r="Q3" s="1672"/>
      <c r="R3" s="1672"/>
      <c r="S3" s="1672"/>
      <c r="T3" s="1672"/>
      <c r="U3" s="1672"/>
      <c r="V3" s="1672"/>
      <c r="W3" s="1672"/>
      <c r="X3" s="1672"/>
      <c r="Y3" s="1672"/>
      <c r="Z3" s="1672"/>
      <c r="AA3" s="1672"/>
      <c r="AB3" s="1672"/>
      <c r="AC3" s="1672"/>
      <c r="AD3" s="1672"/>
      <c r="AE3" s="636"/>
      <c r="AF3" s="636"/>
      <c r="AG3" s="639"/>
      <c r="AJ3" s="97" t="str">
        <f>"-"&amp;MID(AO2,3,1)&amp;IFERROR(VLOOKUP($D$12,'施設状況(要更新)'!$F$4:$S$678,14,FALSE),"")&amp;"_Ver."&amp;TEXT(ver!$B$18,"#.00")</f>
        <v>-保_Ver.2.01</v>
      </c>
      <c r="AK3" s="1062">
        <f>AK2+1</f>
        <v>2024</v>
      </c>
      <c r="AL3" s="99">
        <v>4</v>
      </c>
      <c r="AM3" s="99">
        <v>1</v>
      </c>
      <c r="AN3" s="99" t="s">
        <v>237</v>
      </c>
      <c r="AO3" s="100"/>
      <c r="AP3" s="101" t="s">
        <v>204</v>
      </c>
      <c r="AQ3" s="99" t="s">
        <v>205</v>
      </c>
      <c r="AR3" s="96" t="s">
        <v>80</v>
      </c>
      <c r="AS3" s="102">
        <v>1</v>
      </c>
      <c r="AT3" s="102" t="str">
        <f>【様式５】職員数算出表!AP3</f>
        <v/>
      </c>
      <c r="AU3" s="97">
        <v>1</v>
      </c>
      <c r="AV3" s="97">
        <v>1</v>
      </c>
      <c r="AW3" s="97" t="s">
        <v>851</v>
      </c>
      <c r="AX3" s="97" t="s">
        <v>136</v>
      </c>
    </row>
    <row r="4" spans="1:50" ht="15" customHeight="1">
      <c r="A4" s="635"/>
      <c r="B4" s="636"/>
      <c r="C4" s="636"/>
      <c r="D4" s="636"/>
      <c r="E4" s="636"/>
      <c r="F4" s="636"/>
      <c r="G4" s="636"/>
      <c r="H4" s="636"/>
      <c r="I4" s="636"/>
      <c r="J4" s="636"/>
      <c r="K4" s="636"/>
      <c r="L4" s="636"/>
      <c r="M4" s="636"/>
      <c r="N4" s="636"/>
      <c r="O4" s="636"/>
      <c r="P4" s="636"/>
      <c r="Q4" s="636"/>
      <c r="R4" s="636"/>
      <c r="S4" s="636"/>
      <c r="T4" s="636"/>
      <c r="U4" s="636"/>
      <c r="V4" s="636"/>
      <c r="W4" s="1673" t="e">
        <f>VLOOKUP(I10,$AL$18:$AM$29,2,0)</f>
        <v>#N/A</v>
      </c>
      <c r="X4" s="1673"/>
      <c r="Y4" s="1673"/>
      <c r="Z4" s="1673"/>
      <c r="AA4" s="1673"/>
      <c r="AB4" s="1673"/>
      <c r="AC4" s="1673"/>
      <c r="AD4" s="1673"/>
      <c r="AE4" s="636"/>
      <c r="AF4" s="636"/>
      <c r="AG4" s="639"/>
      <c r="AL4" s="99">
        <v>5</v>
      </c>
      <c r="AM4" s="99">
        <v>2</v>
      </c>
      <c r="AN4" s="99" t="s">
        <v>238</v>
      </c>
      <c r="AO4" s="100"/>
      <c r="AP4" s="99" t="s">
        <v>206</v>
      </c>
      <c r="AQ4" s="99" t="s">
        <v>207</v>
      </c>
      <c r="AR4" s="96" t="s">
        <v>81</v>
      </c>
      <c r="AS4" s="102">
        <v>2</v>
      </c>
      <c r="AT4" s="102" t="str">
        <f>【様式５】職員数算出表!AP4</f>
        <v/>
      </c>
      <c r="AU4" s="97">
        <v>2</v>
      </c>
      <c r="AV4" s="97">
        <v>2</v>
      </c>
      <c r="AW4" s="97" t="s">
        <v>857</v>
      </c>
      <c r="AX4" s="97" t="s">
        <v>87</v>
      </c>
    </row>
    <row r="5" spans="1:50" ht="15" customHeight="1">
      <c r="A5" s="635" t="s">
        <v>66</v>
      </c>
      <c r="B5" s="636"/>
      <c r="C5" s="636"/>
      <c r="D5" s="636"/>
      <c r="E5" s="636"/>
      <c r="F5" s="636"/>
      <c r="G5" s="636"/>
      <c r="H5" s="636"/>
      <c r="I5" s="636"/>
      <c r="J5" s="636"/>
      <c r="K5" s="636"/>
      <c r="L5" s="636"/>
      <c r="M5" s="636"/>
      <c r="N5" s="636"/>
      <c r="O5" s="636"/>
      <c r="P5" s="636"/>
      <c r="Q5" s="636"/>
      <c r="R5" s="636"/>
      <c r="S5" s="636"/>
      <c r="T5" s="636"/>
      <c r="U5" s="636"/>
      <c r="V5" s="636"/>
      <c r="W5" s="636"/>
      <c r="X5" s="636"/>
      <c r="Y5" s="636"/>
      <c r="Z5" s="636"/>
      <c r="AA5" s="636"/>
      <c r="AB5" s="636"/>
      <c r="AC5" s="636"/>
      <c r="AD5" s="636"/>
      <c r="AE5" s="636"/>
      <c r="AF5" s="636"/>
      <c r="AG5" s="639"/>
      <c r="AL5" s="99">
        <v>6</v>
      </c>
      <c r="AM5" s="99">
        <v>3</v>
      </c>
      <c r="AN5" s="99" t="s">
        <v>239</v>
      </c>
      <c r="AO5" s="91"/>
      <c r="AP5" s="103"/>
      <c r="AQ5" s="103"/>
      <c r="AS5" s="102">
        <v>3</v>
      </c>
      <c r="AT5" s="1166"/>
      <c r="AU5" s="97">
        <v>3</v>
      </c>
      <c r="AV5" s="97">
        <v>3</v>
      </c>
      <c r="AX5" s="97" t="s">
        <v>88</v>
      </c>
    </row>
    <row r="6" spans="1:50" ht="15" customHeight="1">
      <c r="A6" s="635"/>
      <c r="B6" s="636"/>
      <c r="C6" s="636"/>
      <c r="D6" s="636"/>
      <c r="E6" s="636"/>
      <c r="F6" s="636"/>
      <c r="G6" s="636"/>
      <c r="H6" s="636"/>
      <c r="I6" s="636"/>
      <c r="J6" s="636"/>
      <c r="K6" s="636"/>
      <c r="L6" s="636"/>
      <c r="M6" s="636"/>
      <c r="N6" s="636"/>
      <c r="O6" s="636"/>
      <c r="P6" s="1624" t="s">
        <v>13</v>
      </c>
      <c r="Q6" s="1625"/>
      <c r="R6" s="1626"/>
      <c r="S6" s="2775"/>
      <c r="T6" s="2776"/>
      <c r="U6" s="2776"/>
      <c r="V6" s="2776"/>
      <c r="W6" s="2776"/>
      <c r="X6" s="2776"/>
      <c r="Y6" s="2776"/>
      <c r="Z6" s="2776"/>
      <c r="AA6" s="2776"/>
      <c r="AB6" s="2776"/>
      <c r="AC6" s="2776"/>
      <c r="AD6" s="2777"/>
      <c r="AE6" s="640"/>
      <c r="AF6" s="636"/>
      <c r="AG6" s="639"/>
      <c r="AL6" s="99">
        <v>7</v>
      </c>
      <c r="AM6" s="99">
        <v>4</v>
      </c>
      <c r="AN6" s="99" t="s">
        <v>240</v>
      </c>
      <c r="AO6" s="91"/>
      <c r="AP6" s="103"/>
      <c r="AQ6" s="103"/>
      <c r="AS6" s="102">
        <v>3.5</v>
      </c>
      <c r="AT6" s="1167"/>
      <c r="AU6" s="97">
        <v>4</v>
      </c>
      <c r="AV6" s="97">
        <v>4</v>
      </c>
      <c r="AX6" s="97" t="s">
        <v>469</v>
      </c>
    </row>
    <row r="7" spans="1:50" ht="15" customHeight="1">
      <c r="A7" s="635"/>
      <c r="B7" s="636"/>
      <c r="C7" s="636"/>
      <c r="D7" s="636"/>
      <c r="E7" s="636"/>
      <c r="F7" s="636"/>
      <c r="G7" s="636"/>
      <c r="H7" s="636"/>
      <c r="I7" s="636"/>
      <c r="J7" s="636"/>
      <c r="K7" s="636"/>
      <c r="L7" s="636"/>
      <c r="M7" s="636"/>
      <c r="N7" s="636"/>
      <c r="O7" s="636"/>
      <c r="P7" s="1624" t="s">
        <v>14</v>
      </c>
      <c r="Q7" s="1625"/>
      <c r="R7" s="1625"/>
      <c r="S7" s="2775"/>
      <c r="T7" s="2776"/>
      <c r="U7" s="2776"/>
      <c r="V7" s="2776"/>
      <c r="W7" s="2776"/>
      <c r="X7" s="2776"/>
      <c r="Y7" s="2776"/>
      <c r="Z7" s="2776"/>
      <c r="AA7" s="2776"/>
      <c r="AB7" s="2776"/>
      <c r="AC7" s="2776"/>
      <c r="AD7" s="2777"/>
      <c r="AE7" s="640"/>
      <c r="AF7" s="636"/>
      <c r="AG7" s="639"/>
      <c r="AL7" s="99">
        <v>8</v>
      </c>
      <c r="AM7" s="99">
        <v>5</v>
      </c>
      <c r="AN7" s="99" t="s">
        <v>241</v>
      </c>
      <c r="AO7" s="91"/>
      <c r="AP7" s="103"/>
      <c r="AQ7" s="103"/>
      <c r="AS7" s="102">
        <v>4</v>
      </c>
      <c r="AT7" s="1167"/>
      <c r="AU7" s="97">
        <v>5</v>
      </c>
      <c r="AV7" s="97">
        <v>5</v>
      </c>
    </row>
    <row r="8" spans="1:50" ht="15" customHeight="1">
      <c r="A8" s="635" t="str">
        <f>+"　"&amp;AK2&amp;"年度において、下記のとおり申請します。"</f>
        <v>　2023年度において、下記のとおり申請します。</v>
      </c>
      <c r="B8" s="636"/>
      <c r="C8" s="636"/>
      <c r="D8" s="636"/>
      <c r="E8" s="636"/>
      <c r="F8" s="636"/>
      <c r="G8" s="636"/>
      <c r="H8" s="636"/>
      <c r="I8" s="636"/>
      <c r="J8" s="636"/>
      <c r="K8" s="636"/>
      <c r="L8" s="636"/>
      <c r="M8" s="636"/>
      <c r="N8" s="636"/>
      <c r="O8" s="636"/>
      <c r="P8" s="636"/>
      <c r="Q8" s="636"/>
      <c r="R8" s="636"/>
      <c r="S8" s="636"/>
      <c r="T8" s="636"/>
      <c r="U8" s="636"/>
      <c r="V8" s="636"/>
      <c r="W8" s="636"/>
      <c r="X8" s="636"/>
      <c r="Y8" s="636"/>
      <c r="Z8" s="636"/>
      <c r="AA8" s="636"/>
      <c r="AB8" s="636"/>
      <c r="AC8" s="636"/>
      <c r="AD8" s="636"/>
      <c r="AE8" s="636"/>
      <c r="AF8" s="636"/>
      <c r="AG8" s="639"/>
      <c r="AL8" s="99">
        <v>9</v>
      </c>
      <c r="AM8" s="99">
        <v>6</v>
      </c>
      <c r="AN8" s="99" t="s">
        <v>242</v>
      </c>
      <c r="AO8" s="91"/>
      <c r="AP8" s="103"/>
      <c r="AQ8" s="103"/>
      <c r="AS8" s="102">
        <v>4.5</v>
      </c>
      <c r="AT8" s="157"/>
      <c r="AV8" s="97">
        <v>6</v>
      </c>
    </row>
    <row r="9" spans="1:50" ht="15" customHeight="1">
      <c r="A9" s="1674" t="s">
        <v>26</v>
      </c>
      <c r="B9" s="1675"/>
      <c r="C9" s="1675"/>
      <c r="D9" s="1675"/>
      <c r="E9" s="1675"/>
      <c r="F9" s="1675"/>
      <c r="G9" s="1675"/>
      <c r="H9" s="1675"/>
      <c r="I9" s="1675"/>
      <c r="J9" s="1675"/>
      <c r="K9" s="1675"/>
      <c r="L9" s="1675"/>
      <c r="M9" s="1675"/>
      <c r="N9" s="1675"/>
      <c r="O9" s="1675"/>
      <c r="P9" s="1675"/>
      <c r="Q9" s="1675"/>
      <c r="R9" s="1675"/>
      <c r="S9" s="1675"/>
      <c r="T9" s="1675"/>
      <c r="U9" s="1675"/>
      <c r="V9" s="1675"/>
      <c r="W9" s="1675"/>
      <c r="X9" s="1675"/>
      <c r="Y9" s="1675"/>
      <c r="Z9" s="1675"/>
      <c r="AA9" s="1675"/>
      <c r="AB9" s="1675"/>
      <c r="AC9" s="1675"/>
      <c r="AD9" s="1675"/>
      <c r="AE9" s="1675"/>
      <c r="AF9" s="1675"/>
      <c r="AG9" s="1676"/>
      <c r="AL9" s="99">
        <v>10</v>
      </c>
      <c r="AM9" s="99">
        <v>7</v>
      </c>
      <c r="AN9" s="99" t="s">
        <v>243</v>
      </c>
      <c r="AO9" s="91"/>
      <c r="AP9" s="103"/>
      <c r="AQ9" s="103"/>
      <c r="AS9" s="102">
        <v>5</v>
      </c>
      <c r="AT9" s="157"/>
      <c r="AV9" s="97">
        <v>7</v>
      </c>
    </row>
    <row r="10" spans="1:50" ht="15" customHeight="1">
      <c r="A10" s="1695" t="s">
        <v>234</v>
      </c>
      <c r="B10" s="1455"/>
      <c r="C10" s="1398"/>
      <c r="D10" s="1457" t="str">
        <f>IF(I10&gt;=4,$AK$2,IF(AND($I$10&gt;0,$I$10&lt;=3),$AK$2+1,""))</f>
        <v/>
      </c>
      <c r="E10" s="1455"/>
      <c r="F10" s="1455"/>
      <c r="G10" s="1455" t="s">
        <v>77</v>
      </c>
      <c r="H10" s="1455"/>
      <c r="I10" s="1496"/>
      <c r="J10" s="1496"/>
      <c r="K10" s="1496"/>
      <c r="L10" s="1455" t="s">
        <v>67</v>
      </c>
      <c r="M10" s="1455"/>
      <c r="N10" s="1398"/>
      <c r="O10" s="937"/>
      <c r="P10" s="937"/>
      <c r="Q10" s="937"/>
      <c r="R10" s="937"/>
      <c r="S10" s="937"/>
      <c r="T10" s="937"/>
      <c r="U10" s="937"/>
      <c r="V10" s="937"/>
      <c r="W10" s="937"/>
      <c r="X10" s="937"/>
      <c r="Y10" s="937"/>
      <c r="Z10" s="937"/>
      <c r="AA10" s="937"/>
      <c r="AB10" s="937"/>
      <c r="AC10" s="937"/>
      <c r="AD10" s="937"/>
      <c r="AE10" s="937"/>
      <c r="AF10" s="937"/>
      <c r="AG10" s="938"/>
      <c r="AL10" s="99">
        <v>11</v>
      </c>
      <c r="AM10" s="99">
        <v>8</v>
      </c>
      <c r="AN10" s="97" t="s">
        <v>244</v>
      </c>
      <c r="AO10" s="90"/>
      <c r="AS10" s="102">
        <v>5.5</v>
      </c>
      <c r="AT10" s="157"/>
      <c r="AV10" s="97">
        <v>8</v>
      </c>
    </row>
    <row r="11" spans="1:50" ht="15" customHeight="1">
      <c r="A11" s="1664" t="s">
        <v>247</v>
      </c>
      <c r="B11" s="1399"/>
      <c r="C11" s="1399"/>
      <c r="D11" s="2778"/>
      <c r="E11" s="2778"/>
      <c r="F11" s="2778"/>
      <c r="G11" s="2778"/>
      <c r="H11" s="2778"/>
      <c r="I11" s="2778"/>
      <c r="J11" s="2778"/>
      <c r="K11" s="2778"/>
      <c r="L11" s="2778"/>
      <c r="M11" s="2778"/>
      <c r="N11" s="2778"/>
      <c r="O11" s="636"/>
      <c r="P11" s="636"/>
      <c r="Q11" s="636"/>
      <c r="R11" s="642"/>
      <c r="S11" s="636"/>
      <c r="T11" s="636"/>
      <c r="U11" s="636"/>
      <c r="V11" s="636"/>
      <c r="W11" s="636"/>
      <c r="X11" s="636"/>
      <c r="Y11" s="636"/>
      <c r="Z11" s="636"/>
      <c r="AA11" s="636"/>
      <c r="AB11" s="636"/>
      <c r="AC11" s="636"/>
      <c r="AD11" s="636"/>
      <c r="AE11" s="636"/>
      <c r="AF11" s="636"/>
      <c r="AG11" s="639"/>
      <c r="AL11" s="99">
        <v>12</v>
      </c>
      <c r="AM11" s="99">
        <v>9</v>
      </c>
      <c r="AN11" s="97" t="s">
        <v>245</v>
      </c>
      <c r="AO11" s="90"/>
      <c r="AS11" s="102">
        <v>6</v>
      </c>
      <c r="AT11" s="157"/>
      <c r="AV11" s="97">
        <v>9</v>
      </c>
    </row>
    <row r="12" spans="1:50" ht="15" customHeight="1">
      <c r="A12" s="1677" t="s">
        <v>248</v>
      </c>
      <c r="B12" s="1622"/>
      <c r="C12" s="1622"/>
      <c r="D12" s="2778"/>
      <c r="E12" s="2778"/>
      <c r="F12" s="2778"/>
      <c r="G12" s="2778"/>
      <c r="H12" s="2778"/>
      <c r="I12" s="2778"/>
      <c r="J12" s="2778"/>
      <c r="K12" s="2778"/>
      <c r="L12" s="2778"/>
      <c r="M12" s="2778"/>
      <c r="N12" s="2778"/>
      <c r="O12" s="643"/>
      <c r="P12" s="644"/>
      <c r="Q12" s="644"/>
      <c r="R12" s="644"/>
      <c r="S12" s="644"/>
      <c r="T12" s="644"/>
      <c r="U12" s="644"/>
      <c r="V12" s="644"/>
      <c r="W12" s="644"/>
      <c r="X12" s="644"/>
      <c r="Y12" s="644"/>
      <c r="Z12" s="636"/>
      <c r="AA12" s="636"/>
      <c r="AB12" s="636"/>
      <c r="AC12" s="636"/>
      <c r="AD12" s="636"/>
      <c r="AE12" s="636"/>
      <c r="AF12" s="636"/>
      <c r="AG12" s="639"/>
      <c r="AL12" s="99">
        <v>1</v>
      </c>
      <c r="AM12" s="99">
        <v>10</v>
      </c>
      <c r="AN12" s="97" t="s">
        <v>246</v>
      </c>
      <c r="AO12" s="90"/>
      <c r="AS12" s="102">
        <v>6.5</v>
      </c>
      <c r="AT12" s="157"/>
      <c r="AV12" s="97">
        <v>10</v>
      </c>
    </row>
    <row r="13" spans="1:50" ht="15" customHeight="1">
      <c r="A13" s="1664" t="s">
        <v>27</v>
      </c>
      <c r="B13" s="1399"/>
      <c r="C13" s="1399"/>
      <c r="D13" s="2779"/>
      <c r="E13" s="2779"/>
      <c r="F13" s="2779"/>
      <c r="G13" s="2779"/>
      <c r="H13" s="2779"/>
      <c r="I13" s="2779"/>
      <c r="J13" s="2779"/>
      <c r="K13" s="2779"/>
      <c r="L13" s="2779"/>
      <c r="M13" s="2779"/>
      <c r="N13" s="2779"/>
      <c r="O13" s="2779"/>
      <c r="P13" s="2779"/>
      <c r="Q13" s="2779"/>
      <c r="R13" s="2779"/>
      <c r="S13" s="2779"/>
      <c r="T13" s="2779"/>
      <c r="U13" s="2779"/>
      <c r="V13" s="2779"/>
      <c r="W13" s="2779"/>
      <c r="X13" s="2779"/>
      <c r="Y13" s="2779"/>
      <c r="Z13" s="636"/>
      <c r="AA13" s="636"/>
      <c r="AB13" s="636"/>
      <c r="AC13" s="636"/>
      <c r="AD13" s="636"/>
      <c r="AE13" s="636"/>
      <c r="AF13" s="636"/>
      <c r="AG13" s="639"/>
      <c r="AI13" s="97" t="s">
        <v>413</v>
      </c>
      <c r="AJ13" s="97" t="s">
        <v>414</v>
      </c>
      <c r="AL13" s="97">
        <v>2</v>
      </c>
      <c r="AM13" s="99">
        <v>11</v>
      </c>
      <c r="AN13" s="91"/>
      <c r="AO13" s="91"/>
      <c r="AS13" s="102">
        <v>7</v>
      </c>
      <c r="AT13" s="157"/>
      <c r="AV13" s="97">
        <v>11</v>
      </c>
    </row>
    <row r="14" spans="1:50" ht="15" customHeight="1">
      <c r="A14" s="1681" t="s">
        <v>0</v>
      </c>
      <c r="B14" s="1390"/>
      <c r="C14" s="1391"/>
      <c r="D14" s="1625" t="s">
        <v>124</v>
      </c>
      <c r="E14" s="1625"/>
      <c r="F14" s="1399" t="s">
        <v>3</v>
      </c>
      <c r="G14" s="1457"/>
      <c r="H14" s="2780"/>
      <c r="I14" s="2780"/>
      <c r="J14" s="641" t="s">
        <v>28</v>
      </c>
      <c r="K14" s="1399" t="s">
        <v>4</v>
      </c>
      <c r="L14" s="1457"/>
      <c r="M14" s="2780"/>
      <c r="N14" s="2780"/>
      <c r="O14" s="641" t="s">
        <v>28</v>
      </c>
      <c r="P14" s="1457" t="s">
        <v>1</v>
      </c>
      <c r="Q14" s="1455"/>
      <c r="R14" s="1455">
        <f>H14+M14</f>
        <v>0</v>
      </c>
      <c r="S14" s="1455"/>
      <c r="T14" s="641" t="s">
        <v>28</v>
      </c>
      <c r="U14" s="636"/>
      <c r="V14" s="636"/>
      <c r="W14" s="636"/>
      <c r="X14" s="636"/>
      <c r="Y14" s="636"/>
      <c r="Z14" s="636"/>
      <c r="AA14" s="636"/>
      <c r="AB14" s="636"/>
      <c r="AC14" s="636"/>
      <c r="AD14" s="636"/>
      <c r="AE14" s="636"/>
      <c r="AF14" s="636"/>
      <c r="AG14" s="639"/>
      <c r="AI14" s="97" t="e">
        <f>VLOOKUP($D$12,'施設状況(要更新)'!$F$4:$R$678,7,FALSE)</f>
        <v>#N/A</v>
      </c>
      <c r="AJ14" s="97" t="e">
        <f>VLOOKUP($D$12,'施設状況(要更新)'!$F$4:$R$678,10,FALSE)-AJ15</f>
        <v>#N/A</v>
      </c>
      <c r="AL14" s="97">
        <v>3</v>
      </c>
      <c r="AM14" s="99">
        <v>12</v>
      </c>
      <c r="AN14" s="91"/>
      <c r="AO14" s="91"/>
      <c r="AS14" s="102">
        <v>7.5</v>
      </c>
      <c r="AT14" s="157"/>
      <c r="AV14" s="97">
        <v>12</v>
      </c>
    </row>
    <row r="15" spans="1:50" ht="15" customHeight="1">
      <c r="A15" s="1682"/>
      <c r="B15" s="1396"/>
      <c r="C15" s="1397"/>
      <c r="D15" s="1455" t="s">
        <v>125</v>
      </c>
      <c r="E15" s="1455"/>
      <c r="F15" s="1399" t="s">
        <v>3</v>
      </c>
      <c r="G15" s="1457"/>
      <c r="H15" s="1665"/>
      <c r="I15" s="1665"/>
      <c r="J15" s="641" t="s">
        <v>28</v>
      </c>
      <c r="K15" s="1399" t="s">
        <v>4</v>
      </c>
      <c r="L15" s="1457"/>
      <c r="M15" s="2780"/>
      <c r="N15" s="2780"/>
      <c r="O15" s="641" t="s">
        <v>28</v>
      </c>
      <c r="P15" s="1457" t="s">
        <v>1</v>
      </c>
      <c r="Q15" s="1455"/>
      <c r="R15" s="1455">
        <f>+H15+M15</f>
        <v>0</v>
      </c>
      <c r="S15" s="1455"/>
      <c r="T15" s="641" t="s">
        <v>28</v>
      </c>
      <c r="U15" s="636"/>
      <c r="V15" s="636"/>
      <c r="W15" s="636"/>
      <c r="X15" s="636"/>
      <c r="Y15" s="636"/>
      <c r="Z15" s="636"/>
      <c r="AA15" s="636"/>
      <c r="AB15" s="636"/>
      <c r="AC15" s="636"/>
      <c r="AD15" s="636"/>
      <c r="AE15" s="636"/>
      <c r="AF15" s="636"/>
      <c r="AG15" s="639"/>
      <c r="AI15" s="97" t="e">
        <f>VLOOKUP($D$12,'施設状況(要更新)'!$F$4:$R$678,12,FALSE)</f>
        <v>#N/A</v>
      </c>
      <c r="AJ15" s="97" t="e">
        <f>VLOOKUP($D$12,'施設状況(要更新)'!$F$4:$R$678,11,FALSE)-$AI$15</f>
        <v>#N/A</v>
      </c>
      <c r="AL15" s="97">
        <v>0</v>
      </c>
      <c r="AM15" s="97">
        <v>0</v>
      </c>
      <c r="AN15" s="90"/>
      <c r="AO15" s="90"/>
      <c r="AS15" s="102">
        <v>8</v>
      </c>
      <c r="AT15" s="157"/>
      <c r="AV15" s="97">
        <v>13</v>
      </c>
    </row>
    <row r="16" spans="1:50" ht="15" customHeight="1" thickBot="1">
      <c r="A16" s="1680" t="s">
        <v>420</v>
      </c>
      <c r="B16" s="1579"/>
      <c r="C16" s="1579"/>
      <c r="D16" s="1579"/>
      <c r="E16" s="1579"/>
      <c r="F16" s="1579"/>
      <c r="G16" s="1579"/>
      <c r="H16" s="1579"/>
      <c r="I16" s="1579"/>
      <c r="J16" s="1579"/>
      <c r="K16" s="1579"/>
      <c r="L16" s="1579"/>
      <c r="M16" s="1579"/>
      <c r="N16" s="1579"/>
      <c r="O16" s="1579"/>
      <c r="P16" s="1579"/>
      <c r="Q16" s="1579"/>
      <c r="R16" s="1579"/>
      <c r="S16" s="1579"/>
      <c r="T16" s="1579"/>
      <c r="U16" s="1579"/>
      <c r="V16" s="1579"/>
      <c r="W16" s="1579"/>
      <c r="X16" s="1579"/>
      <c r="Y16" s="1579"/>
      <c r="Z16" s="1579"/>
      <c r="AA16" s="1579"/>
      <c r="AB16" s="1579"/>
      <c r="AC16" s="1579"/>
      <c r="AD16" s="1579"/>
      <c r="AE16" s="1579"/>
      <c r="AF16" s="1579"/>
      <c r="AG16" s="639"/>
      <c r="AV16" s="97">
        <v>14</v>
      </c>
    </row>
    <row r="17" spans="1:48" ht="24.95" customHeight="1" thickBot="1">
      <c r="A17" s="645" t="s">
        <v>421</v>
      </c>
      <c r="B17" s="1686" t="s">
        <v>115</v>
      </c>
      <c r="C17" s="1686"/>
      <c r="D17" s="1686"/>
      <c r="E17" s="1687"/>
      <c r="F17" s="1692" t="s">
        <v>29</v>
      </c>
      <c r="G17" s="1693"/>
      <c r="H17" s="1693"/>
      <c r="I17" s="1693"/>
      <c r="J17" s="1693"/>
      <c r="K17" s="1693"/>
      <c r="L17" s="1693"/>
      <c r="M17" s="1693"/>
      <c r="N17" s="1693"/>
      <c r="O17" s="1693"/>
      <c r="P17" s="1693"/>
      <c r="Q17" s="1693"/>
      <c r="R17" s="1693"/>
      <c r="S17" s="1693"/>
      <c r="T17" s="1693"/>
      <c r="U17" s="1694"/>
      <c r="V17" s="1688" t="s">
        <v>415</v>
      </c>
      <c r="W17" s="1689"/>
      <c r="X17" s="1689"/>
      <c r="Y17" s="1690"/>
      <c r="Z17" s="1691" t="s">
        <v>30</v>
      </c>
      <c r="AA17" s="1691"/>
      <c r="AB17" s="1691"/>
      <c r="AC17" s="1691"/>
      <c r="AD17" s="1691"/>
      <c r="AE17" s="1691"/>
      <c r="AF17" s="1691"/>
      <c r="AG17" s="639"/>
      <c r="AI17" s="1678" t="s">
        <v>202</v>
      </c>
      <c r="AJ17" s="1679"/>
      <c r="AL17" s="1804" t="s">
        <v>1236</v>
      </c>
      <c r="AM17" s="1804"/>
      <c r="AV17" s="97">
        <v>15</v>
      </c>
    </row>
    <row r="18" spans="1:48" ht="15" customHeight="1" thickBot="1">
      <c r="A18" s="646">
        <v>0</v>
      </c>
      <c r="B18" s="1402" t="str">
        <f>AI18</f>
        <v>×</v>
      </c>
      <c r="C18" s="1377"/>
      <c r="D18" s="1377"/>
      <c r="E18" s="1378"/>
      <c r="F18" s="1461" t="s">
        <v>449</v>
      </c>
      <c r="G18" s="1461"/>
      <c r="H18" s="1461"/>
      <c r="I18" s="1461"/>
      <c r="J18" s="1461"/>
      <c r="K18" s="1461"/>
      <c r="L18" s="1461"/>
      <c r="M18" s="1461"/>
      <c r="N18" s="1461"/>
      <c r="O18" s="1461"/>
      <c r="P18" s="1461"/>
      <c r="Q18" s="1461"/>
      <c r="R18" s="1461"/>
      <c r="S18" s="1461"/>
      <c r="T18" s="1461"/>
      <c r="U18" s="1461"/>
      <c r="V18" s="1683"/>
      <c r="W18" s="1684"/>
      <c r="X18" s="1684"/>
      <c r="Y18" s="1685"/>
      <c r="Z18" s="1455"/>
      <c r="AA18" s="1455"/>
      <c r="AB18" s="1455"/>
      <c r="AC18" s="1455"/>
      <c r="AD18" s="1455"/>
      <c r="AE18" s="1455"/>
      <c r="AF18" s="1398"/>
      <c r="AG18" s="639"/>
      <c r="AI18" s="1678" t="str">
        <f>J54</f>
        <v>×</v>
      </c>
      <c r="AJ18" s="1679"/>
      <c r="AL18" s="1139">
        <v>4</v>
      </c>
      <c r="AM18" s="1140">
        <v>45084</v>
      </c>
      <c r="AV18" s="97">
        <v>16</v>
      </c>
    </row>
    <row r="19" spans="1:48" ht="15" customHeight="1">
      <c r="A19" s="647" t="s">
        <v>31</v>
      </c>
      <c r="B19" s="912"/>
      <c r="C19" s="912"/>
      <c r="D19" s="910"/>
      <c r="E19" s="910"/>
      <c r="F19" s="910"/>
      <c r="G19" s="910"/>
      <c r="H19" s="910"/>
      <c r="I19" s="910"/>
      <c r="J19" s="910"/>
      <c r="K19" s="910"/>
      <c r="L19" s="910"/>
      <c r="M19" s="910"/>
      <c r="N19" s="910"/>
      <c r="O19" s="910"/>
      <c r="P19" s="910"/>
      <c r="Q19" s="910"/>
      <c r="R19" s="910"/>
      <c r="S19" s="910"/>
      <c r="T19" s="910"/>
      <c r="U19" s="910"/>
      <c r="V19" s="1666" t="s">
        <v>197</v>
      </c>
      <c r="W19" s="1666"/>
      <c r="X19" s="1666"/>
      <c r="Y19" s="1666"/>
      <c r="Z19" s="1666"/>
      <c r="AA19" s="1666"/>
      <c r="AB19" s="1666"/>
      <c r="AC19" s="1666"/>
      <c r="AD19" s="1666"/>
      <c r="AE19" s="1666"/>
      <c r="AF19" s="1667"/>
      <c r="AG19" s="639"/>
      <c r="AH19" s="95"/>
      <c r="AI19" s="919">
        <f>VLOOKUP($I$10,$AL$3:$AM$15,2,FALSE)</f>
        <v>0</v>
      </c>
      <c r="AJ19" s="919"/>
      <c r="AL19" s="1139">
        <v>5</v>
      </c>
      <c r="AM19" s="1141">
        <f>AM18</f>
        <v>45084</v>
      </c>
      <c r="AV19" s="97">
        <v>17</v>
      </c>
    </row>
    <row r="20" spans="1:48" ht="15" customHeight="1">
      <c r="A20" s="649">
        <v>1</v>
      </c>
      <c r="B20" s="1624" t="str">
        <f>IFERROR(IF(AI20,AJ20,"適用月エラー"),"－")</f>
        <v>適用月エラー</v>
      </c>
      <c r="C20" s="1625"/>
      <c r="D20" s="1625"/>
      <c r="E20" s="1626"/>
      <c r="F20" s="1627" t="s">
        <v>32</v>
      </c>
      <c r="G20" s="1628"/>
      <c r="H20" s="1628"/>
      <c r="I20" s="1628"/>
      <c r="J20" s="1628"/>
      <c r="K20" s="1628"/>
      <c r="L20" s="1628"/>
      <c r="M20" s="1628"/>
      <c r="N20" s="1628"/>
      <c r="O20" s="1628"/>
      <c r="P20" s="1628"/>
      <c r="Q20" s="1628"/>
      <c r="R20" s="1628"/>
      <c r="S20" s="1628"/>
      <c r="T20" s="1628"/>
      <c r="U20" s="1629"/>
      <c r="V20" s="1598">
        <v>4</v>
      </c>
      <c r="W20" s="1599"/>
      <c r="X20" s="1599"/>
      <c r="Y20" s="1600"/>
      <c r="Z20" s="1623"/>
      <c r="AA20" s="1623"/>
      <c r="AB20" s="1623"/>
      <c r="AC20" s="1623"/>
      <c r="AD20" s="1623"/>
      <c r="AE20" s="1623"/>
      <c r="AF20" s="1623"/>
      <c r="AG20" s="639"/>
      <c r="AI20" s="914" t="b">
        <f>VLOOKUP(V20,$AL$3:$AM$14,2,FALSE)&lt;=$AI$19</f>
        <v>0</v>
      </c>
      <c r="AJ20" s="914" t="str">
        <f>J70</f>
        <v>×</v>
      </c>
      <c r="AL20" s="1139">
        <v>6</v>
      </c>
      <c r="AM20" s="1141">
        <f>AM19</f>
        <v>45084</v>
      </c>
      <c r="AV20" s="97">
        <v>18</v>
      </c>
    </row>
    <row r="21" spans="1:48" ht="15" customHeight="1">
      <c r="A21" s="649">
        <v>2</v>
      </c>
      <c r="B21" s="1624" t="str">
        <f>IFERROR(IF(AI21,AJ21,"適用月エラー"),"－")</f>
        <v>適用月エラー</v>
      </c>
      <c r="C21" s="1625"/>
      <c r="D21" s="1625"/>
      <c r="E21" s="1626"/>
      <c r="F21" s="1627" t="s">
        <v>33</v>
      </c>
      <c r="G21" s="1628"/>
      <c r="H21" s="1628"/>
      <c r="I21" s="1628"/>
      <c r="J21" s="1628"/>
      <c r="K21" s="1628"/>
      <c r="L21" s="1628"/>
      <c r="M21" s="1628"/>
      <c r="N21" s="1628"/>
      <c r="O21" s="1628"/>
      <c r="P21" s="1628"/>
      <c r="Q21" s="1628"/>
      <c r="R21" s="1628"/>
      <c r="S21" s="1628"/>
      <c r="T21" s="1628"/>
      <c r="U21" s="1629"/>
      <c r="V21" s="1598">
        <v>4</v>
      </c>
      <c r="W21" s="1599"/>
      <c r="X21" s="1599"/>
      <c r="Y21" s="1600"/>
      <c r="Z21" s="1623"/>
      <c r="AA21" s="1623"/>
      <c r="AB21" s="1623"/>
      <c r="AC21" s="1623"/>
      <c r="AD21" s="1623"/>
      <c r="AE21" s="1623"/>
      <c r="AF21" s="1623"/>
      <c r="AG21" s="639"/>
      <c r="AI21" s="914" t="b">
        <f>VLOOKUP(V21,$AL$3:$AM$14,2,FALSE)&lt;=$AI$19</f>
        <v>0</v>
      </c>
      <c r="AJ21" s="914" t="str">
        <f>J75</f>
        <v>×</v>
      </c>
      <c r="AL21" s="1139">
        <v>7</v>
      </c>
      <c r="AM21" s="1140">
        <v>45175</v>
      </c>
      <c r="AV21" s="97">
        <v>19</v>
      </c>
    </row>
    <row r="22" spans="1:48" ht="15" customHeight="1">
      <c r="A22" s="649">
        <v>3</v>
      </c>
      <c r="B22" s="1624" t="str">
        <f>IFERROR(IF(AI22,AJ22,"適用月エラー"),"－")</f>
        <v>適用月エラー</v>
      </c>
      <c r="C22" s="1625"/>
      <c r="D22" s="1625"/>
      <c r="E22" s="1626"/>
      <c r="F22" s="1627" t="s">
        <v>126</v>
      </c>
      <c r="G22" s="1628"/>
      <c r="H22" s="1628"/>
      <c r="I22" s="1628"/>
      <c r="J22" s="1628"/>
      <c r="K22" s="1628"/>
      <c r="L22" s="1628"/>
      <c r="M22" s="1628"/>
      <c r="N22" s="1628"/>
      <c r="O22" s="1628"/>
      <c r="P22" s="1628"/>
      <c r="Q22" s="1628"/>
      <c r="R22" s="1628"/>
      <c r="S22" s="1628"/>
      <c r="T22" s="1628"/>
      <c r="U22" s="1629"/>
      <c r="V22" s="1598">
        <v>4</v>
      </c>
      <c r="W22" s="1599"/>
      <c r="X22" s="1599"/>
      <c r="Y22" s="1600"/>
      <c r="Z22" s="1623"/>
      <c r="AA22" s="1623"/>
      <c r="AB22" s="1623"/>
      <c r="AC22" s="1623"/>
      <c r="AD22" s="1623"/>
      <c r="AE22" s="1623"/>
      <c r="AF22" s="1623"/>
      <c r="AG22" s="639"/>
      <c r="AI22" s="914" t="b">
        <f>VLOOKUP(V22,$AL$3:$AM$14,2,FALSE)&lt;=$AI$19</f>
        <v>0</v>
      </c>
      <c r="AJ22" s="914" t="str">
        <f>J81</f>
        <v>エラー</v>
      </c>
      <c r="AL22" s="1139">
        <v>8</v>
      </c>
      <c r="AM22" s="1141">
        <f>AM21</f>
        <v>45175</v>
      </c>
      <c r="AV22" s="97">
        <v>20</v>
      </c>
    </row>
    <row r="23" spans="1:48" ht="15" customHeight="1">
      <c r="A23" s="649">
        <v>4</v>
      </c>
      <c r="B23" s="1643"/>
      <c r="C23" s="1644"/>
      <c r="D23" s="1644"/>
      <c r="E23" s="1645"/>
      <c r="F23" s="1627" t="s">
        <v>127</v>
      </c>
      <c r="G23" s="1628"/>
      <c r="H23" s="1628"/>
      <c r="I23" s="1628"/>
      <c r="J23" s="1628"/>
      <c r="K23" s="1628"/>
      <c r="L23" s="1628"/>
      <c r="M23" s="1628"/>
      <c r="N23" s="1628"/>
      <c r="O23" s="1628"/>
      <c r="P23" s="1628"/>
      <c r="Q23" s="1628"/>
      <c r="R23" s="1628"/>
      <c r="S23" s="1628"/>
      <c r="T23" s="1628"/>
      <c r="U23" s="1629"/>
      <c r="V23" s="1668"/>
      <c r="W23" s="1669"/>
      <c r="X23" s="1669"/>
      <c r="Y23" s="1670"/>
      <c r="Z23" s="1633" t="s">
        <v>199</v>
      </c>
      <c r="AA23" s="1633"/>
      <c r="AB23" s="1633"/>
      <c r="AC23" s="1633"/>
      <c r="AD23" s="1633"/>
      <c r="AE23" s="1633"/>
      <c r="AF23" s="1633"/>
      <c r="AG23" s="639"/>
      <c r="AI23" s="915"/>
      <c r="AJ23" s="915"/>
      <c r="AL23" s="1139">
        <v>9</v>
      </c>
      <c r="AM23" s="1141">
        <f>AM22</f>
        <v>45175</v>
      </c>
      <c r="AV23" s="97">
        <v>21</v>
      </c>
    </row>
    <row r="24" spans="1:48" ht="15" customHeight="1">
      <c r="A24" s="649">
        <v>5</v>
      </c>
      <c r="B24" s="1624" t="str">
        <f>IFERROR(IF(AI24,AJ24,"適用月エラー"),"－")</f>
        <v>適用月エラー</v>
      </c>
      <c r="C24" s="1625"/>
      <c r="D24" s="1625"/>
      <c r="E24" s="1626"/>
      <c r="F24" s="1627" t="s">
        <v>128</v>
      </c>
      <c r="G24" s="1628"/>
      <c r="H24" s="1628"/>
      <c r="I24" s="1628"/>
      <c r="J24" s="1628"/>
      <c r="K24" s="1628"/>
      <c r="L24" s="1628"/>
      <c r="M24" s="1628"/>
      <c r="N24" s="1628"/>
      <c r="O24" s="1628"/>
      <c r="P24" s="1628"/>
      <c r="Q24" s="1628"/>
      <c r="R24" s="1628"/>
      <c r="S24" s="1628"/>
      <c r="T24" s="1628"/>
      <c r="U24" s="1629"/>
      <c r="V24" s="1598">
        <v>4</v>
      </c>
      <c r="W24" s="1599"/>
      <c r="X24" s="1599"/>
      <c r="Y24" s="1600"/>
      <c r="Z24" s="1633" t="s">
        <v>557</v>
      </c>
      <c r="AA24" s="1633"/>
      <c r="AB24" s="1633"/>
      <c r="AC24" s="1633"/>
      <c r="AD24" s="1633"/>
      <c r="AE24" s="1633"/>
      <c r="AF24" s="1633"/>
      <c r="AG24" s="639"/>
      <c r="AI24" s="914" t="b">
        <f>VLOOKUP(V24,$AL$3:$AM$14,2,FALSE)&lt;=$AI$19</f>
        <v>0</v>
      </c>
      <c r="AJ24" s="914" t="str">
        <f>J104</f>
        <v>×</v>
      </c>
      <c r="AL24" s="1139">
        <v>10</v>
      </c>
      <c r="AM24" s="1140">
        <v>45266</v>
      </c>
      <c r="AV24" s="97">
        <v>22</v>
      </c>
    </row>
    <row r="25" spans="1:48" ht="15" customHeight="1">
      <c r="A25" s="649">
        <v>6</v>
      </c>
      <c r="B25" s="1624" t="str">
        <f>IFERROR(IF(AI25,AJ25,"適用月エラー"),"－")</f>
        <v>適用月エラー</v>
      </c>
      <c r="C25" s="1625"/>
      <c r="D25" s="1625"/>
      <c r="E25" s="1626"/>
      <c r="F25" s="1627" t="s">
        <v>129</v>
      </c>
      <c r="G25" s="1628"/>
      <c r="H25" s="1628"/>
      <c r="I25" s="1628"/>
      <c r="J25" s="1628"/>
      <c r="K25" s="1628"/>
      <c r="L25" s="1628"/>
      <c r="M25" s="1628"/>
      <c r="N25" s="1628"/>
      <c r="O25" s="1628"/>
      <c r="P25" s="1628"/>
      <c r="Q25" s="1628"/>
      <c r="R25" s="1628"/>
      <c r="S25" s="1628"/>
      <c r="T25" s="1628"/>
      <c r="U25" s="1629"/>
      <c r="V25" s="1598">
        <v>4</v>
      </c>
      <c r="W25" s="1599"/>
      <c r="X25" s="1599"/>
      <c r="Y25" s="1600"/>
      <c r="Z25" s="1633" t="s">
        <v>508</v>
      </c>
      <c r="AA25" s="1633"/>
      <c r="AB25" s="1633"/>
      <c r="AC25" s="1633"/>
      <c r="AD25" s="1633"/>
      <c r="AE25" s="1633"/>
      <c r="AF25" s="1633"/>
      <c r="AG25" s="639"/>
      <c r="AI25" s="914" t="b">
        <f>VLOOKUP(V25,$AL$3:$AM$14,2,FALSE)&lt;=$AI$19</f>
        <v>0</v>
      </c>
      <c r="AJ25" s="914" t="str">
        <f>J119</f>
        <v>×</v>
      </c>
      <c r="AL25" s="1139">
        <v>11</v>
      </c>
      <c r="AM25" s="1141">
        <f>AM24</f>
        <v>45266</v>
      </c>
      <c r="AV25" s="97">
        <v>23</v>
      </c>
    </row>
    <row r="26" spans="1:48" ht="15" customHeight="1">
      <c r="A26" s="649">
        <v>7</v>
      </c>
      <c r="B26" s="1624" t="str">
        <f>IFERROR(IF(AI26,AJ26,"適用月エラー"),"－")</f>
        <v>適用月エラー</v>
      </c>
      <c r="C26" s="1625"/>
      <c r="D26" s="1625"/>
      <c r="E26" s="1626"/>
      <c r="F26" s="1627" t="s">
        <v>150</v>
      </c>
      <c r="G26" s="1628"/>
      <c r="H26" s="1628"/>
      <c r="I26" s="1628"/>
      <c r="J26" s="1628"/>
      <c r="K26" s="1628"/>
      <c r="L26" s="1628"/>
      <c r="M26" s="1628"/>
      <c r="N26" s="1628"/>
      <c r="O26" s="1628"/>
      <c r="P26" s="1628"/>
      <c r="Q26" s="1628"/>
      <c r="R26" s="1628"/>
      <c r="S26" s="1628"/>
      <c r="T26" s="1628"/>
      <c r="U26" s="1629"/>
      <c r="V26" s="1598">
        <v>4</v>
      </c>
      <c r="W26" s="1599"/>
      <c r="X26" s="1599"/>
      <c r="Y26" s="1600"/>
      <c r="Z26" s="1623"/>
      <c r="AA26" s="1623"/>
      <c r="AB26" s="1623"/>
      <c r="AC26" s="1623"/>
      <c r="AD26" s="1623"/>
      <c r="AE26" s="1623"/>
      <c r="AF26" s="1623"/>
      <c r="AG26" s="639"/>
      <c r="AI26" s="914" t="b">
        <f>VLOOKUP(V26,$AL$3:$AM$14,2,FALSE)&lt;=$AI$19</f>
        <v>0</v>
      </c>
      <c r="AJ26" s="914" t="str">
        <f>J127</f>
        <v>×</v>
      </c>
      <c r="AL26" s="1139">
        <v>12</v>
      </c>
      <c r="AM26" s="1141">
        <f>AM25</f>
        <v>45266</v>
      </c>
      <c r="AV26" s="97">
        <v>24</v>
      </c>
    </row>
    <row r="27" spans="1:48" ht="15" customHeight="1">
      <c r="A27" s="649">
        <v>8</v>
      </c>
      <c r="B27" s="1624" t="s">
        <v>65</v>
      </c>
      <c r="C27" s="1625"/>
      <c r="D27" s="1625"/>
      <c r="E27" s="1626"/>
      <c r="F27" s="1627" t="s">
        <v>419</v>
      </c>
      <c r="G27" s="1628"/>
      <c r="H27" s="1628"/>
      <c r="I27" s="1628"/>
      <c r="J27" s="1628"/>
      <c r="K27" s="1628"/>
      <c r="L27" s="1628"/>
      <c r="M27" s="1628"/>
      <c r="N27" s="1628"/>
      <c r="O27" s="1628"/>
      <c r="P27" s="1628"/>
      <c r="Q27" s="1628"/>
      <c r="R27" s="1628"/>
      <c r="S27" s="1628"/>
      <c r="T27" s="1628"/>
      <c r="U27" s="1629"/>
      <c r="V27" s="1630">
        <f>IF(DATE($AK$2,4,1)&gt;=$AI$194,4,MONTH($AI$194))</f>
        <v>4</v>
      </c>
      <c r="W27" s="1631"/>
      <c r="X27" s="1631"/>
      <c r="Y27" s="1632"/>
      <c r="Z27" s="1633" t="s">
        <v>208</v>
      </c>
      <c r="AA27" s="1633"/>
      <c r="AB27" s="1633"/>
      <c r="AC27" s="1633"/>
      <c r="AD27" s="1633"/>
      <c r="AE27" s="1633"/>
      <c r="AF27" s="1633"/>
      <c r="AG27" s="639"/>
      <c r="AI27" s="915"/>
      <c r="AJ27" s="915"/>
      <c r="AL27" s="1139">
        <v>1</v>
      </c>
      <c r="AM27" s="1140">
        <v>44988</v>
      </c>
      <c r="AV27" s="97">
        <v>25</v>
      </c>
    </row>
    <row r="28" spans="1:48" ht="15" customHeight="1">
      <c r="A28" s="647" t="s">
        <v>34</v>
      </c>
      <c r="B28" s="920"/>
      <c r="C28" s="922"/>
      <c r="D28" s="636"/>
      <c r="E28" s="916"/>
      <c r="F28" s="933"/>
      <c r="G28" s="933"/>
      <c r="H28" s="933"/>
      <c r="I28" s="933"/>
      <c r="J28" s="933"/>
      <c r="K28" s="933"/>
      <c r="L28" s="933"/>
      <c r="M28" s="933"/>
      <c r="N28" s="933"/>
      <c r="O28" s="933"/>
      <c r="P28" s="933"/>
      <c r="Q28" s="933"/>
      <c r="R28" s="933"/>
      <c r="S28" s="933"/>
      <c r="T28" s="933"/>
      <c r="U28" s="940"/>
      <c r="V28" s="924"/>
      <c r="W28" s="924"/>
      <c r="X28" s="924"/>
      <c r="Y28" s="924"/>
      <c r="Z28" s="925"/>
      <c r="AA28" s="924"/>
      <c r="AB28" s="924"/>
      <c r="AC28" s="924"/>
      <c r="AD28" s="924"/>
      <c r="AE28" s="636"/>
      <c r="AF28" s="652"/>
      <c r="AG28" s="639"/>
      <c r="AL28" s="1139">
        <v>2</v>
      </c>
      <c r="AM28" s="1141">
        <f>AM27</f>
        <v>44988</v>
      </c>
      <c r="AV28" s="97">
        <v>26</v>
      </c>
    </row>
    <row r="29" spans="1:48" ht="15" customHeight="1">
      <c r="A29" s="651">
        <v>9</v>
      </c>
      <c r="B29" s="1624" t="str">
        <f>IFERROR(IF(AI29,AJ29,"適用月エラー"),AJ29)</f>
        <v>適用月エラー</v>
      </c>
      <c r="C29" s="1625"/>
      <c r="D29" s="1625"/>
      <c r="E29" s="1626"/>
      <c r="F29" s="1627" t="s">
        <v>1142</v>
      </c>
      <c r="G29" s="1628"/>
      <c r="H29" s="1628"/>
      <c r="I29" s="1628"/>
      <c r="J29" s="1628"/>
      <c r="K29" s="1628"/>
      <c r="L29" s="1628"/>
      <c r="M29" s="1628"/>
      <c r="N29" s="1628"/>
      <c r="O29" s="1628"/>
      <c r="P29" s="1628"/>
      <c r="Q29" s="1628"/>
      <c r="R29" s="1628"/>
      <c r="S29" s="1628"/>
      <c r="T29" s="1628"/>
      <c r="U29" s="1629"/>
      <c r="V29" s="1598">
        <v>4</v>
      </c>
      <c r="W29" s="1599"/>
      <c r="X29" s="1599"/>
      <c r="Y29" s="1600"/>
      <c r="Z29" s="1623"/>
      <c r="AA29" s="1623"/>
      <c r="AB29" s="1623"/>
      <c r="AC29" s="1623"/>
      <c r="AD29" s="1623"/>
      <c r="AE29" s="1623"/>
      <c r="AF29" s="1623"/>
      <c r="AG29" s="639"/>
      <c r="AI29" s="914" t="b">
        <f>VLOOKUP(V29,$AL$3:$AM$14,2,FALSE)&lt;=$AI$19</f>
        <v>0</v>
      </c>
      <c r="AJ29" s="914" t="str">
        <f>J150</f>
        <v>×</v>
      </c>
      <c r="AL29" s="1139">
        <v>3</v>
      </c>
      <c r="AM29" s="1141">
        <f>AM28</f>
        <v>44988</v>
      </c>
      <c r="AV29" s="97">
        <v>27</v>
      </c>
    </row>
    <row r="30" spans="1:48" ht="15" customHeight="1">
      <c r="A30" s="649">
        <v>10</v>
      </c>
      <c r="B30" s="1624" t="str">
        <f>IFERROR(IF(AI30,AJ30,"適用月エラー"),AJ30)</f>
        <v>適用月エラー</v>
      </c>
      <c r="C30" s="1625"/>
      <c r="D30" s="1625"/>
      <c r="E30" s="1626"/>
      <c r="F30" s="1627" t="s">
        <v>1143</v>
      </c>
      <c r="G30" s="1628"/>
      <c r="H30" s="1628"/>
      <c r="I30" s="1628"/>
      <c r="J30" s="1628"/>
      <c r="K30" s="1628"/>
      <c r="L30" s="1628"/>
      <c r="M30" s="1628"/>
      <c r="N30" s="1628"/>
      <c r="O30" s="1628"/>
      <c r="P30" s="1628"/>
      <c r="Q30" s="1628"/>
      <c r="R30" s="1628"/>
      <c r="S30" s="1628"/>
      <c r="T30" s="1628"/>
      <c r="U30" s="1629"/>
      <c r="V30" s="1598">
        <v>4</v>
      </c>
      <c r="W30" s="1599"/>
      <c r="X30" s="1599"/>
      <c r="Y30" s="1600"/>
      <c r="Z30" s="1623"/>
      <c r="AA30" s="1623"/>
      <c r="AB30" s="1623"/>
      <c r="AC30" s="1623"/>
      <c r="AD30" s="1623"/>
      <c r="AE30" s="1623"/>
      <c r="AF30" s="1623"/>
      <c r="AG30" s="639"/>
      <c r="AI30" s="914" t="b">
        <f>VLOOKUP(V30,$AL$3:$AM$14,2,FALSE)&lt;=$AI$19</f>
        <v>0</v>
      </c>
      <c r="AJ30" s="914" t="str">
        <f>J153</f>
        <v>○</v>
      </c>
      <c r="AV30" s="97">
        <v>28</v>
      </c>
    </row>
    <row r="31" spans="1:48" ht="15" customHeight="1">
      <c r="A31" s="651">
        <v>11</v>
      </c>
      <c r="B31" s="1624" t="str">
        <f>IFERROR(IF(AI31,AJ31,"適用月エラー"),AJ31)</f>
        <v>×</v>
      </c>
      <c r="C31" s="1625"/>
      <c r="D31" s="1625"/>
      <c r="E31" s="1626"/>
      <c r="F31" s="1627" t="s">
        <v>1144</v>
      </c>
      <c r="G31" s="1628"/>
      <c r="H31" s="1628"/>
      <c r="I31" s="1628"/>
      <c r="J31" s="1628"/>
      <c r="K31" s="1628"/>
      <c r="L31" s="1628"/>
      <c r="M31" s="1628"/>
      <c r="N31" s="1628"/>
      <c r="O31" s="1628"/>
      <c r="P31" s="1628"/>
      <c r="Q31" s="1628"/>
      <c r="R31" s="1628"/>
      <c r="S31" s="1628"/>
      <c r="T31" s="1628"/>
      <c r="U31" s="1629"/>
      <c r="V31" s="1630">
        <f>I10</f>
        <v>0</v>
      </c>
      <c r="W31" s="1631"/>
      <c r="X31" s="1631"/>
      <c r="Y31" s="1632"/>
      <c r="Z31" s="1633" t="str">
        <f>IF(I10=4,"","前月:"&amp;F184)</f>
        <v>前月:(変更無)全て → 全て</v>
      </c>
      <c r="AA31" s="1633"/>
      <c r="AB31" s="1633"/>
      <c r="AC31" s="1633"/>
      <c r="AD31" s="1633"/>
      <c r="AE31" s="1633"/>
      <c r="AF31" s="1633"/>
      <c r="AG31" s="639"/>
      <c r="AI31" s="914" t="e">
        <f>VLOOKUP(V31,$AL$3:$AM$14,2,FALSE)&lt;=$AI$19</f>
        <v>#N/A</v>
      </c>
      <c r="AJ31" s="914" t="str">
        <f>J179</f>
        <v>×</v>
      </c>
      <c r="AV31" s="97">
        <v>29</v>
      </c>
    </row>
    <row r="32" spans="1:48" ht="15" customHeight="1">
      <c r="A32" s="647" t="s">
        <v>35</v>
      </c>
      <c r="B32" s="920"/>
      <c r="C32" s="922"/>
      <c r="D32" s="636"/>
      <c r="E32" s="916"/>
      <c r="F32" s="933"/>
      <c r="G32" s="933"/>
      <c r="H32" s="933"/>
      <c r="I32" s="933"/>
      <c r="J32" s="933"/>
      <c r="K32" s="933"/>
      <c r="L32" s="933"/>
      <c r="M32" s="933"/>
      <c r="N32" s="933"/>
      <c r="O32" s="933"/>
      <c r="P32" s="933"/>
      <c r="Q32" s="933"/>
      <c r="R32" s="933"/>
      <c r="S32" s="933"/>
      <c r="T32" s="933"/>
      <c r="U32" s="940"/>
      <c r="V32" s="924"/>
      <c r="W32" s="924"/>
      <c r="X32" s="924"/>
      <c r="Y32" s="924"/>
      <c r="Z32" s="925"/>
      <c r="AA32" s="924"/>
      <c r="AB32" s="924"/>
      <c r="AC32" s="924"/>
      <c r="AD32" s="924"/>
      <c r="AE32" s="636"/>
      <c r="AF32" s="652"/>
      <c r="AG32" s="639"/>
      <c r="AV32" s="97">
        <v>30</v>
      </c>
    </row>
    <row r="33" spans="1:48" ht="15" customHeight="1">
      <c r="A33" s="649">
        <v>12</v>
      </c>
      <c r="B33" s="1624" t="str">
        <f>IFERROR(IF(AI33,AJ33,"適用月エラー"),AJ33)</f>
        <v>未入力エラー</v>
      </c>
      <c r="C33" s="1625"/>
      <c r="D33" s="1625"/>
      <c r="E33" s="1626"/>
      <c r="F33" s="1627" t="s">
        <v>1145</v>
      </c>
      <c r="G33" s="1628"/>
      <c r="H33" s="1628"/>
      <c r="I33" s="1628"/>
      <c r="J33" s="1628"/>
      <c r="K33" s="1628"/>
      <c r="L33" s="1628"/>
      <c r="M33" s="1628"/>
      <c r="N33" s="1628"/>
      <c r="O33" s="1628"/>
      <c r="P33" s="1628"/>
      <c r="Q33" s="1628"/>
      <c r="R33" s="1628"/>
      <c r="S33" s="1628"/>
      <c r="T33" s="1628"/>
      <c r="U33" s="1629"/>
      <c r="V33" s="1630">
        <f>IF(I10=0,0,4)</f>
        <v>0</v>
      </c>
      <c r="W33" s="1631"/>
      <c r="X33" s="1631"/>
      <c r="Y33" s="1632"/>
      <c r="Z33" s="1633" t="str">
        <f>H218</f>
        <v>エラー</v>
      </c>
      <c r="AA33" s="1633"/>
      <c r="AB33" s="1633"/>
      <c r="AC33" s="1633"/>
      <c r="AD33" s="1633"/>
      <c r="AE33" s="1633"/>
      <c r="AF33" s="1633"/>
      <c r="AG33" s="639"/>
      <c r="AI33" s="914" t="e">
        <f>VLOOKUP(V33,$AL$3:$AM$14,2,FALSE)&lt;=$AI$19</f>
        <v>#N/A</v>
      </c>
      <c r="AJ33" s="914" t="str">
        <f>J188</f>
        <v>未入力エラー</v>
      </c>
      <c r="AV33" s="97">
        <v>31</v>
      </c>
    </row>
    <row r="34" spans="1:48" ht="15" customHeight="1">
      <c r="A34" s="647" t="s">
        <v>36</v>
      </c>
      <c r="B34" s="910"/>
      <c r="C34" s="910"/>
      <c r="D34" s="636"/>
      <c r="E34" s="940"/>
      <c r="F34" s="940"/>
      <c r="G34" s="940"/>
      <c r="H34" s="940"/>
      <c r="I34" s="940"/>
      <c r="J34" s="940"/>
      <c r="K34" s="940"/>
      <c r="L34" s="940"/>
      <c r="M34" s="940"/>
      <c r="N34" s="940"/>
      <c r="O34" s="940"/>
      <c r="P34" s="940"/>
      <c r="Q34" s="940"/>
      <c r="R34" s="940"/>
      <c r="S34" s="940"/>
      <c r="T34" s="940"/>
      <c r="U34" s="940"/>
      <c r="V34" s="925"/>
      <c r="W34" s="925"/>
      <c r="X34" s="925"/>
      <c r="Y34" s="925"/>
      <c r="Z34" s="925"/>
      <c r="AA34" s="925"/>
      <c r="AB34" s="925"/>
      <c r="AC34" s="925"/>
      <c r="AD34" s="925"/>
      <c r="AE34" s="636"/>
      <c r="AF34" s="652"/>
      <c r="AG34" s="639"/>
    </row>
    <row r="35" spans="1:48" ht="15" customHeight="1">
      <c r="A35" s="649">
        <v>13</v>
      </c>
      <c r="B35" s="1624" t="str">
        <f t="shared" ref="B35:B40" si="0">IFERROR(IF(AI35,AJ35,"適用月エラー"),"－")</f>
        <v>適用月エラー</v>
      </c>
      <c r="C35" s="1625"/>
      <c r="D35" s="1625"/>
      <c r="E35" s="1626"/>
      <c r="F35" s="1627" t="s">
        <v>151</v>
      </c>
      <c r="G35" s="1628"/>
      <c r="H35" s="1628"/>
      <c r="I35" s="1628"/>
      <c r="J35" s="1628"/>
      <c r="K35" s="1628"/>
      <c r="L35" s="1628"/>
      <c r="M35" s="1628"/>
      <c r="N35" s="1628"/>
      <c r="O35" s="1628"/>
      <c r="P35" s="1628"/>
      <c r="Q35" s="1628"/>
      <c r="R35" s="1628"/>
      <c r="S35" s="1628"/>
      <c r="T35" s="1628"/>
      <c r="U35" s="1629"/>
      <c r="V35" s="1598">
        <v>4</v>
      </c>
      <c r="W35" s="1599"/>
      <c r="X35" s="1599"/>
      <c r="Y35" s="1600"/>
      <c r="Z35" s="1623"/>
      <c r="AA35" s="1623"/>
      <c r="AB35" s="1623"/>
      <c r="AC35" s="1623"/>
      <c r="AD35" s="1623"/>
      <c r="AE35" s="1623"/>
      <c r="AF35" s="1623"/>
      <c r="AG35" s="639"/>
      <c r="AI35" s="914" t="b">
        <f t="shared" ref="AI35:AI40" si="1">VLOOKUP(V35,$AL$3:$AM$14,2,FALSE)&lt;=$AI$19</f>
        <v>0</v>
      </c>
      <c r="AJ35" s="914" t="str">
        <f>J222</f>
        <v>×</v>
      </c>
    </row>
    <row r="36" spans="1:48" ht="15" customHeight="1">
      <c r="A36" s="649">
        <v>14</v>
      </c>
      <c r="B36" s="1624" t="str">
        <f t="shared" si="0"/>
        <v>適用月エラー</v>
      </c>
      <c r="C36" s="1625"/>
      <c r="D36" s="1625"/>
      <c r="E36" s="1626"/>
      <c r="F36" s="1627" t="s">
        <v>37</v>
      </c>
      <c r="G36" s="1628"/>
      <c r="H36" s="1628"/>
      <c r="I36" s="1628"/>
      <c r="J36" s="1628"/>
      <c r="K36" s="1628"/>
      <c r="L36" s="1628"/>
      <c r="M36" s="1628"/>
      <c r="N36" s="1628"/>
      <c r="O36" s="1628"/>
      <c r="P36" s="1628"/>
      <c r="Q36" s="1628"/>
      <c r="R36" s="1628"/>
      <c r="S36" s="1628"/>
      <c r="T36" s="1628"/>
      <c r="U36" s="1629"/>
      <c r="V36" s="1598">
        <v>4</v>
      </c>
      <c r="W36" s="1599"/>
      <c r="X36" s="1599"/>
      <c r="Y36" s="1600"/>
      <c r="Z36" s="1623"/>
      <c r="AA36" s="1623"/>
      <c r="AB36" s="1623"/>
      <c r="AC36" s="1623"/>
      <c r="AD36" s="1623"/>
      <c r="AE36" s="1623"/>
      <c r="AF36" s="1623"/>
      <c r="AG36" s="639"/>
      <c r="AI36" s="914" t="b">
        <f t="shared" si="1"/>
        <v>0</v>
      </c>
      <c r="AJ36" s="914" t="str">
        <f>J248</f>
        <v>×</v>
      </c>
    </row>
    <row r="37" spans="1:48" ht="15" customHeight="1">
      <c r="A37" s="649">
        <v>15</v>
      </c>
      <c r="B37" s="1624" t="str">
        <f t="shared" si="0"/>
        <v>適用月エラー</v>
      </c>
      <c r="C37" s="1625"/>
      <c r="D37" s="1625"/>
      <c r="E37" s="1626"/>
      <c r="F37" s="1627" t="s">
        <v>487</v>
      </c>
      <c r="G37" s="1628"/>
      <c r="H37" s="1628"/>
      <c r="I37" s="1628"/>
      <c r="J37" s="1628"/>
      <c r="K37" s="1628"/>
      <c r="L37" s="1628"/>
      <c r="M37" s="1628"/>
      <c r="N37" s="1628"/>
      <c r="O37" s="1628"/>
      <c r="P37" s="1628"/>
      <c r="Q37" s="1628"/>
      <c r="R37" s="1628"/>
      <c r="S37" s="1628"/>
      <c r="T37" s="1628"/>
      <c r="U37" s="1629"/>
      <c r="V37" s="1598">
        <v>4</v>
      </c>
      <c r="W37" s="1599"/>
      <c r="X37" s="1599"/>
      <c r="Y37" s="1600"/>
      <c r="Z37" s="1623"/>
      <c r="AA37" s="1623"/>
      <c r="AB37" s="1623"/>
      <c r="AC37" s="1623"/>
      <c r="AD37" s="1623"/>
      <c r="AE37" s="1623"/>
      <c r="AF37" s="1623"/>
      <c r="AG37" s="639"/>
      <c r="AI37" s="914" t="b">
        <f t="shared" si="1"/>
        <v>0</v>
      </c>
      <c r="AJ37" s="914" t="str">
        <f>J261</f>
        <v>×</v>
      </c>
    </row>
    <row r="38" spans="1:48" ht="15" customHeight="1">
      <c r="A38" s="649">
        <v>16</v>
      </c>
      <c r="B38" s="1624" t="str">
        <f t="shared" si="0"/>
        <v>適用月エラー</v>
      </c>
      <c r="C38" s="1625"/>
      <c r="D38" s="1625"/>
      <c r="E38" s="1626"/>
      <c r="F38" s="1627" t="s">
        <v>38</v>
      </c>
      <c r="G38" s="1628"/>
      <c r="H38" s="1628"/>
      <c r="I38" s="1628"/>
      <c r="J38" s="1628"/>
      <c r="K38" s="1628"/>
      <c r="L38" s="1628"/>
      <c r="M38" s="1628"/>
      <c r="N38" s="1628"/>
      <c r="O38" s="1628"/>
      <c r="P38" s="1628"/>
      <c r="Q38" s="1628"/>
      <c r="R38" s="1628"/>
      <c r="S38" s="1628"/>
      <c r="T38" s="1628"/>
      <c r="U38" s="1629"/>
      <c r="V38" s="1598">
        <v>4</v>
      </c>
      <c r="W38" s="1599"/>
      <c r="X38" s="1599"/>
      <c r="Y38" s="1600"/>
      <c r="Z38" s="1623"/>
      <c r="AA38" s="1623"/>
      <c r="AB38" s="1623"/>
      <c r="AC38" s="1623"/>
      <c r="AD38" s="1623"/>
      <c r="AE38" s="1623"/>
      <c r="AF38" s="1623"/>
      <c r="AG38" s="639"/>
      <c r="AI38" s="914" t="b">
        <f t="shared" si="1"/>
        <v>0</v>
      </c>
      <c r="AJ38" s="914" t="str">
        <f>J288</f>
        <v>×</v>
      </c>
    </row>
    <row r="39" spans="1:48" ht="15" customHeight="1">
      <c r="A39" s="649">
        <v>17</v>
      </c>
      <c r="B39" s="1624" t="str">
        <f t="shared" si="0"/>
        <v>適用月エラー</v>
      </c>
      <c r="C39" s="1625"/>
      <c r="D39" s="1625"/>
      <c r="E39" s="1626"/>
      <c r="F39" s="1627" t="s">
        <v>1242</v>
      </c>
      <c r="G39" s="1628"/>
      <c r="H39" s="1628"/>
      <c r="I39" s="1628"/>
      <c r="J39" s="1628"/>
      <c r="K39" s="1628"/>
      <c r="L39" s="1628"/>
      <c r="M39" s="1628"/>
      <c r="N39" s="1628"/>
      <c r="O39" s="1628"/>
      <c r="P39" s="1628"/>
      <c r="Q39" s="1628"/>
      <c r="R39" s="1628"/>
      <c r="S39" s="1628"/>
      <c r="T39" s="1628"/>
      <c r="U39" s="1629"/>
      <c r="V39" s="1598">
        <v>4</v>
      </c>
      <c r="W39" s="1599"/>
      <c r="X39" s="1599"/>
      <c r="Y39" s="1600"/>
      <c r="Z39" s="1623"/>
      <c r="AA39" s="1623"/>
      <c r="AB39" s="1623"/>
      <c r="AC39" s="1623"/>
      <c r="AD39" s="1623"/>
      <c r="AE39" s="1623"/>
      <c r="AF39" s="1623"/>
      <c r="AG39" s="639"/>
      <c r="AI39" s="1135" t="b">
        <f t="shared" si="1"/>
        <v>0</v>
      </c>
      <c r="AJ39" s="1135" t="str">
        <f>J292</f>
        <v>×</v>
      </c>
    </row>
    <row r="40" spans="1:48" ht="15" customHeight="1">
      <c r="A40" s="649">
        <v>18</v>
      </c>
      <c r="B40" s="1624" t="str">
        <f t="shared" si="0"/>
        <v>適用月エラー</v>
      </c>
      <c r="C40" s="1625"/>
      <c r="D40" s="1625"/>
      <c r="E40" s="1626"/>
      <c r="F40" s="1627" t="s">
        <v>44</v>
      </c>
      <c r="G40" s="1628"/>
      <c r="H40" s="1628"/>
      <c r="I40" s="1628"/>
      <c r="J40" s="1628"/>
      <c r="K40" s="1628"/>
      <c r="L40" s="1628"/>
      <c r="M40" s="1628"/>
      <c r="N40" s="1628"/>
      <c r="O40" s="1628"/>
      <c r="P40" s="1628"/>
      <c r="Q40" s="1628"/>
      <c r="R40" s="1628"/>
      <c r="S40" s="1628"/>
      <c r="T40" s="1628"/>
      <c r="U40" s="1629"/>
      <c r="V40" s="1598">
        <v>4</v>
      </c>
      <c r="W40" s="1599"/>
      <c r="X40" s="1599"/>
      <c r="Y40" s="1600"/>
      <c r="Z40" s="1623"/>
      <c r="AA40" s="1623"/>
      <c r="AB40" s="1623"/>
      <c r="AC40" s="1623"/>
      <c r="AD40" s="1623"/>
      <c r="AE40" s="1623"/>
      <c r="AF40" s="1623"/>
      <c r="AG40" s="639"/>
      <c r="AI40" s="914" t="b">
        <f t="shared" si="1"/>
        <v>0</v>
      </c>
      <c r="AJ40" s="914" t="str">
        <f>J296</f>
        <v>×</v>
      </c>
    </row>
    <row r="41" spans="1:48" ht="15" customHeight="1">
      <c r="A41" s="649">
        <v>19</v>
      </c>
      <c r="B41" s="1624" t="s">
        <v>198</v>
      </c>
      <c r="C41" s="1625"/>
      <c r="D41" s="1625"/>
      <c r="E41" s="1626"/>
      <c r="F41" s="1627" t="s">
        <v>39</v>
      </c>
      <c r="G41" s="1628"/>
      <c r="H41" s="1628"/>
      <c r="I41" s="1628"/>
      <c r="J41" s="1628"/>
      <c r="K41" s="1628"/>
      <c r="L41" s="1628"/>
      <c r="M41" s="1628"/>
      <c r="N41" s="1628"/>
      <c r="O41" s="1628"/>
      <c r="P41" s="1628"/>
      <c r="Q41" s="1628"/>
      <c r="R41" s="1628"/>
      <c r="S41" s="1628"/>
      <c r="T41" s="1628"/>
      <c r="U41" s="1629"/>
      <c r="V41" s="1630">
        <f>IF(DATE($AK$2,4,1)&gt;=$AI$194,4,MONTH($AI$194))</f>
        <v>4</v>
      </c>
      <c r="W41" s="1631"/>
      <c r="X41" s="1631"/>
      <c r="Y41" s="1632"/>
      <c r="Z41" s="1633" t="s">
        <v>75</v>
      </c>
      <c r="AA41" s="1633"/>
      <c r="AB41" s="1633"/>
      <c r="AC41" s="1633"/>
      <c r="AD41" s="1633"/>
      <c r="AE41" s="1633"/>
      <c r="AF41" s="1633"/>
      <c r="AG41" s="639"/>
      <c r="AI41" s="915"/>
      <c r="AJ41" s="915"/>
    </row>
    <row r="42" spans="1:48" ht="15" customHeight="1">
      <c r="A42" s="650" t="s">
        <v>74</v>
      </c>
      <c r="B42" s="909"/>
      <c r="C42" s="910"/>
      <c r="D42" s="636"/>
      <c r="E42" s="933"/>
      <c r="F42" s="933"/>
      <c r="G42" s="933"/>
      <c r="H42" s="933"/>
      <c r="I42" s="933"/>
      <c r="J42" s="933"/>
      <c r="K42" s="933"/>
      <c r="L42" s="933"/>
      <c r="M42" s="933"/>
      <c r="N42" s="933"/>
      <c r="O42" s="933"/>
      <c r="P42" s="933"/>
      <c r="Q42" s="933"/>
      <c r="R42" s="933"/>
      <c r="S42" s="933"/>
      <c r="T42" s="933"/>
      <c r="U42" s="933"/>
      <c r="V42" s="935"/>
      <c r="W42" s="935"/>
      <c r="X42" s="935"/>
      <c r="Y42" s="935"/>
      <c r="Z42" s="935"/>
      <c r="AA42" s="935"/>
      <c r="AB42" s="935"/>
      <c r="AC42" s="935"/>
      <c r="AD42" s="935"/>
      <c r="AE42" s="935"/>
      <c r="AF42" s="936"/>
      <c r="AG42" s="639"/>
    </row>
    <row r="43" spans="1:48" ht="15" customHeight="1">
      <c r="A43" s="649">
        <v>20</v>
      </c>
      <c r="B43" s="1643"/>
      <c r="C43" s="1644"/>
      <c r="D43" s="1644"/>
      <c r="E43" s="1645"/>
      <c r="F43" s="1627" t="s">
        <v>556</v>
      </c>
      <c r="G43" s="1628"/>
      <c r="H43" s="1628"/>
      <c r="I43" s="1628"/>
      <c r="J43" s="1628"/>
      <c r="K43" s="1628"/>
      <c r="L43" s="1628"/>
      <c r="M43" s="1628"/>
      <c r="N43" s="1628"/>
      <c r="O43" s="1628"/>
      <c r="P43" s="1628"/>
      <c r="Q43" s="1628"/>
      <c r="R43" s="1628"/>
      <c r="S43" s="1628"/>
      <c r="T43" s="1628"/>
      <c r="U43" s="1629"/>
      <c r="V43" s="1634" t="s">
        <v>79</v>
      </c>
      <c r="W43" s="1635"/>
      <c r="X43" s="1635"/>
      <c r="Y43" s="1635"/>
      <c r="Z43" s="1635"/>
      <c r="AA43" s="1635"/>
      <c r="AB43" s="1635"/>
      <c r="AC43" s="1635"/>
      <c r="AD43" s="1635"/>
      <c r="AE43" s="1635"/>
      <c r="AF43" s="1636"/>
      <c r="AG43" s="639"/>
    </row>
    <row r="44" spans="1:48" ht="15" customHeight="1">
      <c r="A44" s="649">
        <v>21</v>
      </c>
      <c r="B44" s="1643"/>
      <c r="C44" s="1644"/>
      <c r="D44" s="1644"/>
      <c r="E44" s="1645"/>
      <c r="F44" s="1627" t="s">
        <v>42</v>
      </c>
      <c r="G44" s="1628"/>
      <c r="H44" s="1628"/>
      <c r="I44" s="1628"/>
      <c r="J44" s="1628"/>
      <c r="K44" s="1628"/>
      <c r="L44" s="1628"/>
      <c r="M44" s="1628"/>
      <c r="N44" s="1628"/>
      <c r="O44" s="1628"/>
      <c r="P44" s="1628"/>
      <c r="Q44" s="1628"/>
      <c r="R44" s="1628"/>
      <c r="S44" s="1628"/>
      <c r="T44" s="1628"/>
      <c r="U44" s="1629"/>
      <c r="V44" s="1637"/>
      <c r="W44" s="1638"/>
      <c r="X44" s="1638"/>
      <c r="Y44" s="1638"/>
      <c r="Z44" s="1638"/>
      <c r="AA44" s="1638"/>
      <c r="AB44" s="1638"/>
      <c r="AC44" s="1638"/>
      <c r="AD44" s="1638"/>
      <c r="AE44" s="1638"/>
      <c r="AF44" s="1639"/>
      <c r="AG44" s="639"/>
    </row>
    <row r="45" spans="1:48" ht="15" customHeight="1">
      <c r="A45" s="649">
        <v>22</v>
      </c>
      <c r="B45" s="1643"/>
      <c r="C45" s="1644"/>
      <c r="D45" s="1644"/>
      <c r="E45" s="1645"/>
      <c r="F45" s="1627" t="s">
        <v>43</v>
      </c>
      <c r="G45" s="1628"/>
      <c r="H45" s="1628"/>
      <c r="I45" s="1628"/>
      <c r="J45" s="1628"/>
      <c r="K45" s="1628"/>
      <c r="L45" s="1628"/>
      <c r="M45" s="1628"/>
      <c r="N45" s="1628"/>
      <c r="O45" s="1628"/>
      <c r="P45" s="1628"/>
      <c r="Q45" s="1628"/>
      <c r="R45" s="1628"/>
      <c r="S45" s="1628"/>
      <c r="T45" s="1628"/>
      <c r="U45" s="1629"/>
      <c r="V45" s="1637"/>
      <c r="W45" s="1638"/>
      <c r="X45" s="1638"/>
      <c r="Y45" s="1638"/>
      <c r="Z45" s="1638"/>
      <c r="AA45" s="1638"/>
      <c r="AB45" s="1638"/>
      <c r="AC45" s="1638"/>
      <c r="AD45" s="1638"/>
      <c r="AE45" s="1638"/>
      <c r="AF45" s="1639"/>
      <c r="AG45" s="639"/>
    </row>
    <row r="46" spans="1:48" ht="15" customHeight="1">
      <c r="A46" s="649">
        <v>23</v>
      </c>
      <c r="B46" s="1643"/>
      <c r="C46" s="1644"/>
      <c r="D46" s="1644"/>
      <c r="E46" s="1645"/>
      <c r="F46" s="1627" t="s">
        <v>45</v>
      </c>
      <c r="G46" s="1628"/>
      <c r="H46" s="1628"/>
      <c r="I46" s="1628"/>
      <c r="J46" s="1628"/>
      <c r="K46" s="1628"/>
      <c r="L46" s="1628"/>
      <c r="M46" s="1628"/>
      <c r="N46" s="1628"/>
      <c r="O46" s="1628"/>
      <c r="P46" s="1628"/>
      <c r="Q46" s="1628"/>
      <c r="R46" s="1628"/>
      <c r="S46" s="1628"/>
      <c r="T46" s="1628"/>
      <c r="U46" s="1629"/>
      <c r="V46" s="1640"/>
      <c r="W46" s="1641"/>
      <c r="X46" s="1641"/>
      <c r="Y46" s="1641"/>
      <c r="Z46" s="1641"/>
      <c r="AA46" s="1641"/>
      <c r="AB46" s="1641"/>
      <c r="AC46" s="1641"/>
      <c r="AD46" s="1641"/>
      <c r="AE46" s="1641"/>
      <c r="AF46" s="1642"/>
      <c r="AG46" s="639"/>
    </row>
    <row r="47" spans="1:48" ht="15" customHeight="1">
      <c r="A47" s="649">
        <v>24</v>
      </c>
      <c r="B47" s="1643"/>
      <c r="C47" s="1644"/>
      <c r="D47" s="1644"/>
      <c r="E47" s="1645"/>
      <c r="F47" s="1627" t="s">
        <v>40</v>
      </c>
      <c r="G47" s="1628"/>
      <c r="H47" s="1628"/>
      <c r="I47" s="1628"/>
      <c r="J47" s="1628"/>
      <c r="K47" s="1628"/>
      <c r="L47" s="1628"/>
      <c r="M47" s="1628"/>
      <c r="N47" s="1628"/>
      <c r="O47" s="1628"/>
      <c r="P47" s="1628"/>
      <c r="Q47" s="1628"/>
      <c r="R47" s="1628"/>
      <c r="S47" s="1628"/>
      <c r="T47" s="1628"/>
      <c r="U47" s="1629"/>
      <c r="V47" s="1634" t="s">
        <v>78</v>
      </c>
      <c r="W47" s="1635"/>
      <c r="X47" s="1635"/>
      <c r="Y47" s="1635"/>
      <c r="Z47" s="1635"/>
      <c r="AA47" s="1635"/>
      <c r="AB47" s="1635"/>
      <c r="AC47" s="1635"/>
      <c r="AD47" s="1635"/>
      <c r="AE47" s="1635"/>
      <c r="AF47" s="1636"/>
      <c r="AG47" s="639"/>
    </row>
    <row r="48" spans="1:48" ht="15" customHeight="1">
      <c r="A48" s="649">
        <v>25</v>
      </c>
      <c r="B48" s="1643"/>
      <c r="C48" s="1644"/>
      <c r="D48" s="1644"/>
      <c r="E48" s="1645"/>
      <c r="F48" s="1627" t="s">
        <v>41</v>
      </c>
      <c r="G48" s="1628"/>
      <c r="H48" s="1628"/>
      <c r="I48" s="1628"/>
      <c r="J48" s="1628"/>
      <c r="K48" s="1628"/>
      <c r="L48" s="1628"/>
      <c r="M48" s="1628"/>
      <c r="N48" s="1628"/>
      <c r="O48" s="1628"/>
      <c r="P48" s="1628"/>
      <c r="Q48" s="1628"/>
      <c r="R48" s="1628"/>
      <c r="S48" s="1628"/>
      <c r="T48" s="1628"/>
      <c r="U48" s="1629"/>
      <c r="V48" s="1640"/>
      <c r="W48" s="1641"/>
      <c r="X48" s="1641"/>
      <c r="Y48" s="1641"/>
      <c r="Z48" s="1641"/>
      <c r="AA48" s="1641"/>
      <c r="AB48" s="1641"/>
      <c r="AC48" s="1641"/>
      <c r="AD48" s="1641"/>
      <c r="AE48" s="1641"/>
      <c r="AF48" s="1642"/>
      <c r="AG48" s="639"/>
    </row>
    <row r="49" spans="1:36" ht="15" customHeight="1">
      <c r="A49" s="1649" t="s">
        <v>622</v>
      </c>
      <c r="B49" s="1346"/>
      <c r="C49" s="1346"/>
      <c r="D49" s="1346"/>
      <c r="E49" s="1346"/>
      <c r="F49" s="1346"/>
      <c r="G49" s="1346"/>
      <c r="H49" s="1346"/>
      <c r="I49" s="1346"/>
      <c r="J49" s="1346"/>
      <c r="K49" s="1346"/>
      <c r="L49" s="1346"/>
      <c r="M49" s="1346"/>
      <c r="N49" s="1346"/>
      <c r="O49" s="1346"/>
      <c r="P49" s="1346"/>
      <c r="Q49" s="1346"/>
      <c r="R49" s="1346"/>
      <c r="S49" s="1346"/>
      <c r="T49" s="1346"/>
      <c r="U49" s="1346"/>
      <c r="V49" s="1346"/>
      <c r="W49" s="1346"/>
      <c r="X49" s="1346"/>
      <c r="Y49" s="1346"/>
      <c r="Z49" s="1346"/>
      <c r="AA49" s="1346"/>
      <c r="AB49" s="1346"/>
      <c r="AC49" s="1346"/>
      <c r="AD49" s="1346"/>
      <c r="AE49" s="1346"/>
      <c r="AF49" s="1346"/>
      <c r="AG49" s="639"/>
    </row>
    <row r="50" spans="1:36" ht="15" customHeight="1" thickBot="1">
      <c r="A50" s="1650"/>
      <c r="B50" s="1651"/>
      <c r="C50" s="1651"/>
      <c r="D50" s="1651"/>
      <c r="E50" s="1651"/>
      <c r="F50" s="1651"/>
      <c r="G50" s="1651"/>
      <c r="H50" s="1651"/>
      <c r="I50" s="1651"/>
      <c r="J50" s="1651"/>
      <c r="K50" s="1651"/>
      <c r="L50" s="1651"/>
      <c r="M50" s="1651"/>
      <c r="N50" s="1651"/>
      <c r="O50" s="1651"/>
      <c r="P50" s="1651"/>
      <c r="Q50" s="1651"/>
      <c r="R50" s="1651"/>
      <c r="S50" s="1651"/>
      <c r="T50" s="1651"/>
      <c r="U50" s="1651"/>
      <c r="V50" s="1651"/>
      <c r="W50" s="1651"/>
      <c r="X50" s="1651"/>
      <c r="Y50" s="1651"/>
      <c r="Z50" s="1651"/>
      <c r="AA50" s="1651"/>
      <c r="AB50" s="1651"/>
      <c r="AC50" s="1651"/>
      <c r="AD50" s="1651"/>
      <c r="AE50" s="1651"/>
      <c r="AF50" s="1651"/>
      <c r="AG50" s="648"/>
    </row>
    <row r="51" spans="1:36" ht="15" customHeight="1">
      <c r="A51" s="1609" t="s">
        <v>46</v>
      </c>
      <c r="B51" s="1609"/>
      <c r="C51" s="1609"/>
      <c r="D51" s="1609"/>
      <c r="E51" s="1609"/>
      <c r="F51" s="1609"/>
      <c r="G51" s="1609"/>
      <c r="H51" s="1609"/>
      <c r="I51" s="1609"/>
      <c r="J51" s="1609"/>
      <c r="K51" s="1609"/>
      <c r="L51" s="1609"/>
      <c r="M51" s="1609"/>
      <c r="N51" s="1609"/>
      <c r="O51" s="1609"/>
      <c r="P51" s="1609"/>
      <c r="Q51" s="1609"/>
      <c r="R51" s="1609"/>
      <c r="S51" s="1609"/>
      <c r="T51" s="1609"/>
      <c r="U51" s="1609"/>
      <c r="V51" s="1609"/>
      <c r="W51" s="1609"/>
      <c r="X51" s="1609"/>
      <c r="Y51" s="1609"/>
      <c r="Z51" s="1609"/>
      <c r="AA51" s="1609"/>
      <c r="AB51" s="1609"/>
      <c r="AC51" s="1609"/>
      <c r="AD51" s="1609"/>
      <c r="AE51" s="1609"/>
      <c r="AF51" s="1609"/>
      <c r="AG51" s="1609"/>
    </row>
    <row r="52" spans="1:36" ht="15" customHeight="1">
      <c r="A52" s="1337" t="s">
        <v>200</v>
      </c>
      <c r="B52" s="1337"/>
      <c r="C52" s="1337"/>
      <c r="D52" s="1337"/>
      <c r="E52" s="1337"/>
      <c r="F52" s="1337"/>
      <c r="G52" s="1337"/>
      <c r="H52" s="1337"/>
      <c r="I52" s="1337"/>
      <c r="J52" s="1337"/>
      <c r="K52" s="1337"/>
      <c r="L52" s="1337"/>
      <c r="M52" s="1337"/>
      <c r="N52" s="1337"/>
      <c r="O52" s="1337"/>
      <c r="P52" s="1337"/>
      <c r="Q52" s="1337"/>
      <c r="R52" s="1337"/>
      <c r="S52" s="1337"/>
      <c r="T52" s="1337"/>
      <c r="U52" s="1337"/>
      <c r="V52" s="1337"/>
      <c r="W52" s="1337"/>
      <c r="X52" s="1337"/>
      <c r="Y52" s="1337"/>
      <c r="Z52" s="1337"/>
      <c r="AA52" s="1337"/>
      <c r="AB52" s="1337"/>
      <c r="AC52" s="1337"/>
      <c r="AD52" s="1337"/>
      <c r="AE52" s="1337"/>
      <c r="AF52" s="1337"/>
      <c r="AG52" s="1337"/>
    </row>
    <row r="53" spans="1:36" ht="24.95" customHeight="1" thickBot="1">
      <c r="A53" s="1337" t="s">
        <v>201</v>
      </c>
      <c r="B53" s="1337"/>
      <c r="C53" s="1337"/>
      <c r="D53" s="1337"/>
      <c r="E53" s="1337"/>
      <c r="F53" s="1337"/>
      <c r="G53" s="1337"/>
      <c r="H53" s="1337"/>
      <c r="I53" s="1337"/>
      <c r="J53" s="1337"/>
      <c r="K53" s="1337"/>
      <c r="L53" s="1337"/>
      <c r="M53" s="1337"/>
      <c r="N53" s="1337"/>
      <c r="O53" s="1337"/>
      <c r="P53" s="1337"/>
      <c r="Q53" s="1337"/>
      <c r="R53" s="1337"/>
      <c r="S53" s="1337"/>
      <c r="T53" s="1337"/>
      <c r="U53" s="1337"/>
      <c r="V53" s="1337"/>
      <c r="W53" s="1337"/>
      <c r="X53" s="1337"/>
      <c r="Y53" s="1337"/>
      <c r="Z53" s="1337"/>
      <c r="AA53" s="1337"/>
      <c r="AB53" s="1337"/>
      <c r="AC53" s="1337"/>
      <c r="AD53" s="1337"/>
      <c r="AE53" s="1337"/>
      <c r="AF53" s="1337"/>
      <c r="AG53" s="1337"/>
    </row>
    <row r="54" spans="1:36" ht="15" customHeight="1" thickBot="1">
      <c r="A54" s="1534" t="s">
        <v>441</v>
      </c>
      <c r="B54" s="1534"/>
      <c r="C54" s="1534"/>
      <c r="D54" s="1534"/>
      <c r="E54" s="1534"/>
      <c r="F54" s="1534"/>
      <c r="G54" s="1534"/>
      <c r="H54" s="1534"/>
      <c r="I54" s="1534"/>
      <c r="J54" s="1483" t="str">
        <f>IFERROR(IF(AND(AI56,AI60,AI64,AJ56,AJ60),"○","×"),"エラー")</f>
        <v>×</v>
      </c>
      <c r="K54" s="1484"/>
      <c r="L54" s="1484"/>
      <c r="M54" s="1484"/>
      <c r="N54" s="1485"/>
      <c r="O54" s="1471" t="s">
        <v>209</v>
      </c>
      <c r="P54" s="1393"/>
      <c r="Q54" s="1393"/>
      <c r="R54" s="917"/>
      <c r="S54" s="917"/>
      <c r="T54" s="917"/>
      <c r="U54" s="917"/>
      <c r="V54" s="917"/>
      <c r="W54" s="917"/>
      <c r="X54" s="917"/>
      <c r="Y54" s="917"/>
      <c r="Z54" s="917"/>
      <c r="AA54" s="917"/>
      <c r="AB54" s="917"/>
      <c r="AC54" s="917"/>
      <c r="AD54" s="917"/>
      <c r="AE54" s="917"/>
      <c r="AF54" s="917"/>
      <c r="AG54" s="917"/>
      <c r="AH54" s="95"/>
    </row>
    <row r="55" spans="1:36" ht="15" customHeight="1">
      <c r="A55" s="1448" t="s">
        <v>452</v>
      </c>
      <c r="B55" s="1449"/>
      <c r="C55" s="1449"/>
      <c r="D55" s="1449"/>
      <c r="E55" s="1449"/>
      <c r="F55" s="1398" t="s">
        <v>99</v>
      </c>
      <c r="G55" s="1399"/>
      <c r="H55" s="1399"/>
      <c r="I55" s="1399"/>
      <c r="J55" s="1656"/>
      <c r="K55" s="1656"/>
      <c r="L55" s="1399"/>
      <c r="M55" s="1399"/>
      <c r="N55" s="1399"/>
      <c r="O55" s="1399"/>
      <c r="P55" s="1399"/>
      <c r="Q55" s="1399"/>
      <c r="R55" s="1399"/>
      <c r="S55" s="1399"/>
      <c r="T55" s="1399"/>
      <c r="U55" s="1399"/>
      <c r="V55" s="1399"/>
      <c r="W55" s="1399"/>
      <c r="X55" s="1399"/>
      <c r="Y55" s="1399"/>
      <c r="Z55" s="1399"/>
      <c r="AA55" s="1342" t="s">
        <v>210</v>
      </c>
      <c r="AB55" s="1342"/>
      <c r="AC55" s="1342"/>
      <c r="AD55" s="1342"/>
      <c r="AE55" s="1341" t="s">
        <v>675</v>
      </c>
      <c r="AF55" s="1341"/>
      <c r="AG55" s="1341"/>
      <c r="AH55" s="95"/>
    </row>
    <row r="56" spans="1:36" ht="15" customHeight="1">
      <c r="A56" s="1450"/>
      <c r="B56" s="1451"/>
      <c r="C56" s="1451"/>
      <c r="D56" s="1451"/>
      <c r="E56" s="1451"/>
      <c r="F56" s="931">
        <v>1</v>
      </c>
      <c r="G56" s="1583" t="s">
        <v>616</v>
      </c>
      <c r="H56" s="1583"/>
      <c r="I56" s="1583"/>
      <c r="J56" s="1583"/>
      <c r="K56" s="1583"/>
      <c r="L56" s="1583"/>
      <c r="M56" s="1583"/>
      <c r="N56" s="1583"/>
      <c r="O56" s="1583"/>
      <c r="P56" s="1583"/>
      <c r="Q56" s="1583"/>
      <c r="R56" s="1583"/>
      <c r="S56" s="1583"/>
      <c r="T56" s="1583"/>
      <c r="U56" s="1583"/>
      <c r="V56" s="1583"/>
      <c r="W56" s="1583"/>
      <c r="X56" s="1583"/>
      <c r="Y56" s="1583"/>
      <c r="Z56" s="1583"/>
      <c r="AA56" s="1448" t="str">
        <f>IF(COUNTIF(AI57:AI59,TRUE)=1,"○","×")</f>
        <v>×</v>
      </c>
      <c r="AB56" s="1449"/>
      <c r="AC56" s="1449"/>
      <c r="AD56" s="1584"/>
      <c r="AE56" s="1341" t="str">
        <f>【様式５】職員数算出表!O35</f>
        <v>×</v>
      </c>
      <c r="AF56" s="1341"/>
      <c r="AG56" s="1341"/>
      <c r="AH56" s="95"/>
      <c r="AI56" s="914" t="b">
        <f t="shared" ref="AI56:AI65" si="2">AA56="○"</f>
        <v>0</v>
      </c>
      <c r="AJ56" s="1342" t="b">
        <f>AE56="○"</f>
        <v>0</v>
      </c>
    </row>
    <row r="57" spans="1:36" ht="15" customHeight="1">
      <c r="A57" s="1450"/>
      <c r="B57" s="1451"/>
      <c r="C57" s="1451"/>
      <c r="D57" s="1451"/>
      <c r="E57" s="1451"/>
      <c r="F57" s="1435" t="s">
        <v>442</v>
      </c>
      <c r="G57" s="1436"/>
      <c r="H57" s="1588" t="s">
        <v>450</v>
      </c>
      <c r="I57" s="1588"/>
      <c r="J57" s="1588"/>
      <c r="K57" s="1588"/>
      <c r="L57" s="1588"/>
      <c r="M57" s="1588"/>
      <c r="N57" s="1588"/>
      <c r="O57" s="1588"/>
      <c r="P57" s="1588"/>
      <c r="Q57" s="1588"/>
      <c r="R57" s="1588"/>
      <c r="S57" s="1588"/>
      <c r="T57" s="1588"/>
      <c r="U57" s="1588"/>
      <c r="V57" s="1588"/>
      <c r="W57" s="1588"/>
      <c r="X57" s="1588"/>
      <c r="Y57" s="1588"/>
      <c r="Z57" s="1588"/>
      <c r="AA57" s="1652"/>
      <c r="AB57" s="1653"/>
      <c r="AC57" s="1653"/>
      <c r="AD57" s="1654"/>
      <c r="AE57" s="1341"/>
      <c r="AF57" s="1341"/>
      <c r="AG57" s="1341"/>
      <c r="AH57" s="95"/>
      <c r="AI57" s="914" t="b">
        <f t="shared" si="2"/>
        <v>0</v>
      </c>
      <c r="AJ57" s="1342"/>
    </row>
    <row r="58" spans="1:36" ht="15" customHeight="1">
      <c r="A58" s="1450"/>
      <c r="B58" s="1451"/>
      <c r="C58" s="1451"/>
      <c r="D58" s="1451"/>
      <c r="E58" s="1451"/>
      <c r="F58" s="1435" t="s">
        <v>443</v>
      </c>
      <c r="G58" s="1436"/>
      <c r="H58" s="1655" t="s">
        <v>970</v>
      </c>
      <c r="I58" s="1655"/>
      <c r="J58" s="1655"/>
      <c r="K58" s="1655"/>
      <c r="L58" s="1655"/>
      <c r="M58" s="1655"/>
      <c r="N58" s="1655"/>
      <c r="O58" s="1655"/>
      <c r="P58" s="1655"/>
      <c r="Q58" s="1655"/>
      <c r="R58" s="1655"/>
      <c r="S58" s="1655"/>
      <c r="T58" s="1655"/>
      <c r="U58" s="1655"/>
      <c r="V58" s="1655"/>
      <c r="W58" s="1655"/>
      <c r="X58" s="1655"/>
      <c r="Y58" s="1655"/>
      <c r="Z58" s="1655"/>
      <c r="AA58" s="1652"/>
      <c r="AB58" s="1653"/>
      <c r="AC58" s="1653"/>
      <c r="AD58" s="1654"/>
      <c r="AE58" s="1341"/>
      <c r="AF58" s="1341"/>
      <c r="AG58" s="1341"/>
      <c r="AH58" s="95"/>
      <c r="AI58" s="914" t="b">
        <f t="shared" si="2"/>
        <v>0</v>
      </c>
      <c r="AJ58" s="1342"/>
    </row>
    <row r="59" spans="1:36" ht="15" customHeight="1">
      <c r="A59" s="1450"/>
      <c r="B59" s="1451"/>
      <c r="C59" s="1451"/>
      <c r="D59" s="1451"/>
      <c r="E59" s="1451"/>
      <c r="F59" s="1617" t="s">
        <v>446</v>
      </c>
      <c r="G59" s="1618"/>
      <c r="H59" s="1388" t="s">
        <v>444</v>
      </c>
      <c r="I59" s="1388"/>
      <c r="J59" s="1388"/>
      <c r="K59" s="1388"/>
      <c r="L59" s="1388"/>
      <c r="M59" s="1388"/>
      <c r="N59" s="1388"/>
      <c r="O59" s="1388"/>
      <c r="P59" s="1388"/>
      <c r="Q59" s="1388"/>
      <c r="R59" s="1388"/>
      <c r="S59" s="1388"/>
      <c r="T59" s="1388"/>
      <c r="U59" s="1388"/>
      <c r="V59" s="1388"/>
      <c r="W59" s="1388"/>
      <c r="X59" s="1388"/>
      <c r="Y59" s="1388"/>
      <c r="Z59" s="1388"/>
      <c r="AA59" s="1614"/>
      <c r="AB59" s="1615"/>
      <c r="AC59" s="1615"/>
      <c r="AD59" s="1616"/>
      <c r="AE59" s="1341"/>
      <c r="AF59" s="1341"/>
      <c r="AG59" s="1341"/>
      <c r="AH59" s="95"/>
      <c r="AI59" s="914" t="b">
        <f t="shared" si="2"/>
        <v>0</v>
      </c>
      <c r="AJ59" s="1342"/>
    </row>
    <row r="60" spans="1:36" ht="15" customHeight="1">
      <c r="A60" s="1450"/>
      <c r="B60" s="1451"/>
      <c r="C60" s="1451"/>
      <c r="D60" s="1451"/>
      <c r="E60" s="1451"/>
      <c r="F60" s="931">
        <v>2</v>
      </c>
      <c r="G60" s="1583" t="s">
        <v>680</v>
      </c>
      <c r="H60" s="1583"/>
      <c r="I60" s="1583"/>
      <c r="J60" s="1583"/>
      <c r="K60" s="1583"/>
      <c r="L60" s="1583"/>
      <c r="M60" s="1583"/>
      <c r="N60" s="1583"/>
      <c r="O60" s="1583"/>
      <c r="P60" s="1583"/>
      <c r="Q60" s="1583"/>
      <c r="R60" s="1583"/>
      <c r="S60" s="1583"/>
      <c r="T60" s="1583"/>
      <c r="U60" s="1583"/>
      <c r="V60" s="1583"/>
      <c r="W60" s="1583"/>
      <c r="X60" s="1583"/>
      <c r="Y60" s="1583"/>
      <c r="Z60" s="1583"/>
      <c r="AA60" s="1448" t="str">
        <f>IF(COUNTIF(AI61:AI62,TRUE)=1,"○","×")</f>
        <v>×</v>
      </c>
      <c r="AB60" s="1449"/>
      <c r="AC60" s="1449"/>
      <c r="AD60" s="1584"/>
      <c r="AE60" s="1341" t="str">
        <f>【様式５】職員数算出表!O31</f>
        <v>×</v>
      </c>
      <c r="AF60" s="1341"/>
      <c r="AG60" s="1341"/>
      <c r="AH60" s="95"/>
      <c r="AI60" s="914" t="b">
        <f t="shared" si="2"/>
        <v>0</v>
      </c>
      <c r="AJ60" s="1342" t="b">
        <f>AE60="○"</f>
        <v>0</v>
      </c>
    </row>
    <row r="61" spans="1:36" ht="15" customHeight="1">
      <c r="A61" s="1450"/>
      <c r="B61" s="1451"/>
      <c r="C61" s="1451"/>
      <c r="D61" s="1451"/>
      <c r="E61" s="1451"/>
      <c r="F61" s="1435" t="s">
        <v>442</v>
      </c>
      <c r="G61" s="1436"/>
      <c r="H61" s="1588" t="s">
        <v>445</v>
      </c>
      <c r="I61" s="1588"/>
      <c r="J61" s="1588"/>
      <c r="K61" s="1588"/>
      <c r="L61" s="1588"/>
      <c r="M61" s="1588"/>
      <c r="N61" s="1588"/>
      <c r="O61" s="1588"/>
      <c r="P61" s="1588"/>
      <c r="Q61" s="1588"/>
      <c r="R61" s="1588"/>
      <c r="S61" s="1588"/>
      <c r="T61" s="1588"/>
      <c r="U61" s="1588"/>
      <c r="V61" s="1588"/>
      <c r="W61" s="1588"/>
      <c r="X61" s="1588"/>
      <c r="Y61" s="1588"/>
      <c r="Z61" s="1588"/>
      <c r="AA61" s="1652"/>
      <c r="AB61" s="1653"/>
      <c r="AC61" s="1653"/>
      <c r="AD61" s="1654"/>
      <c r="AE61" s="1341"/>
      <c r="AF61" s="1341"/>
      <c r="AG61" s="1341"/>
      <c r="AH61" s="95"/>
      <c r="AI61" s="914" t="b">
        <f t="shared" si="2"/>
        <v>0</v>
      </c>
      <c r="AJ61" s="1342"/>
    </row>
    <row r="62" spans="1:36" ht="15" customHeight="1">
      <c r="A62" s="1450"/>
      <c r="B62" s="1451"/>
      <c r="C62" s="1451"/>
      <c r="D62" s="1451"/>
      <c r="E62" s="1451"/>
      <c r="F62" s="1589" t="s">
        <v>443</v>
      </c>
      <c r="G62" s="1590"/>
      <c r="H62" s="1591" t="s">
        <v>454</v>
      </c>
      <c r="I62" s="1591"/>
      <c r="J62" s="1591"/>
      <c r="K62" s="1591"/>
      <c r="L62" s="1591"/>
      <c r="M62" s="1591"/>
      <c r="N62" s="1591"/>
      <c r="O62" s="1591"/>
      <c r="P62" s="1591"/>
      <c r="Q62" s="1591"/>
      <c r="R62" s="1591"/>
      <c r="S62" s="1591"/>
      <c r="T62" s="1591"/>
      <c r="U62" s="1591"/>
      <c r="V62" s="1591"/>
      <c r="W62" s="1591"/>
      <c r="X62" s="1591"/>
      <c r="Y62" s="1591"/>
      <c r="Z62" s="1591"/>
      <c r="AA62" s="1657"/>
      <c r="AB62" s="1658"/>
      <c r="AC62" s="1658"/>
      <c r="AD62" s="1659"/>
      <c r="AE62" s="1341"/>
      <c r="AF62" s="1341"/>
      <c r="AG62" s="1341"/>
      <c r="AH62" s="95"/>
      <c r="AI62" s="914" t="b">
        <f>AA62="○"</f>
        <v>0</v>
      </c>
      <c r="AJ62" s="1342"/>
    </row>
    <row r="63" spans="1:36" ht="15" customHeight="1">
      <c r="A63" s="1450"/>
      <c r="B63" s="1451"/>
      <c r="C63" s="1451"/>
      <c r="D63" s="1451"/>
      <c r="E63" s="1451"/>
      <c r="F63" s="1593" t="s">
        <v>453</v>
      </c>
      <c r="G63" s="1454"/>
      <c r="H63" s="1454"/>
      <c r="I63" s="1594" t="str">
        <f>IF(R15=0,"一部を委託している場合は不可","分園の場合のみ選択：給食を本園等から搬入している")</f>
        <v>一部を委託している場合は不可</v>
      </c>
      <c r="J63" s="1594"/>
      <c r="K63" s="1594"/>
      <c r="L63" s="1594"/>
      <c r="M63" s="1594"/>
      <c r="N63" s="1594"/>
      <c r="O63" s="1594"/>
      <c r="P63" s="1594"/>
      <c r="Q63" s="1594"/>
      <c r="R63" s="1594"/>
      <c r="S63" s="1594"/>
      <c r="T63" s="1594"/>
      <c r="U63" s="1594"/>
      <c r="V63" s="1594"/>
      <c r="W63" s="1594"/>
      <c r="X63" s="1594"/>
      <c r="Y63" s="1594"/>
      <c r="Z63" s="1595"/>
      <c r="AA63" s="1646"/>
      <c r="AB63" s="1647"/>
      <c r="AC63" s="1647"/>
      <c r="AD63" s="1648"/>
      <c r="AE63" s="1341"/>
      <c r="AF63" s="1341"/>
      <c r="AG63" s="1341"/>
      <c r="AH63" s="95"/>
      <c r="AI63" s="914" t="b">
        <f>AA63="○"</f>
        <v>0</v>
      </c>
      <c r="AJ63" s="1342"/>
    </row>
    <row r="64" spans="1:36" ht="15" customHeight="1">
      <c r="A64" s="1450"/>
      <c r="B64" s="1451"/>
      <c r="C64" s="1451"/>
      <c r="D64" s="1451"/>
      <c r="E64" s="1451"/>
      <c r="F64" s="931">
        <v>3</v>
      </c>
      <c r="G64" s="1583" t="s">
        <v>447</v>
      </c>
      <c r="H64" s="1583"/>
      <c r="I64" s="1583"/>
      <c r="J64" s="1583"/>
      <c r="K64" s="1583"/>
      <c r="L64" s="1583"/>
      <c r="M64" s="1583"/>
      <c r="N64" s="1583"/>
      <c r="O64" s="1583"/>
      <c r="P64" s="1583"/>
      <c r="Q64" s="1583"/>
      <c r="R64" s="1583"/>
      <c r="S64" s="1583"/>
      <c r="T64" s="1583"/>
      <c r="U64" s="1583"/>
      <c r="V64" s="1583"/>
      <c r="W64" s="1583"/>
      <c r="X64" s="1583"/>
      <c r="Y64" s="1583"/>
      <c r="Z64" s="1583"/>
      <c r="AA64" s="1448" t="str">
        <f>IF(AI65,"○","×")</f>
        <v>×</v>
      </c>
      <c r="AB64" s="1449"/>
      <c r="AC64" s="1449"/>
      <c r="AD64" s="1584"/>
      <c r="AE64" s="1341" t="str">
        <f>【様式５】職員数算出表!O41</f>
        <v>×</v>
      </c>
      <c r="AF64" s="1341"/>
      <c r="AG64" s="1341"/>
      <c r="AH64" s="95"/>
      <c r="AI64" s="914" t="b">
        <f t="shared" si="2"/>
        <v>0</v>
      </c>
      <c r="AJ64" s="1343"/>
    </row>
    <row r="65" spans="1:67" ht="15" customHeight="1">
      <c r="A65" s="1452"/>
      <c r="B65" s="1453"/>
      <c r="C65" s="1453"/>
      <c r="D65" s="1453"/>
      <c r="E65" s="1453"/>
      <c r="F65" s="1617" t="s">
        <v>442</v>
      </c>
      <c r="G65" s="1618"/>
      <c r="H65" s="1388" t="s">
        <v>448</v>
      </c>
      <c r="I65" s="1388"/>
      <c r="J65" s="1388"/>
      <c r="K65" s="1388"/>
      <c r="L65" s="1388"/>
      <c r="M65" s="1388"/>
      <c r="N65" s="1388"/>
      <c r="O65" s="1388"/>
      <c r="P65" s="1388"/>
      <c r="Q65" s="1388"/>
      <c r="R65" s="1388"/>
      <c r="S65" s="1388"/>
      <c r="T65" s="1388"/>
      <c r="U65" s="1388"/>
      <c r="V65" s="1388"/>
      <c r="W65" s="1388"/>
      <c r="X65" s="1388"/>
      <c r="Y65" s="1388"/>
      <c r="Z65" s="1388"/>
      <c r="AA65" s="1614"/>
      <c r="AB65" s="1615"/>
      <c r="AC65" s="1615"/>
      <c r="AD65" s="1616"/>
      <c r="AE65" s="1341"/>
      <c r="AF65" s="1341"/>
      <c r="AG65" s="1341"/>
      <c r="AH65" s="95"/>
      <c r="AI65" s="914" t="b">
        <f t="shared" si="2"/>
        <v>0</v>
      </c>
      <c r="AJ65" s="1343"/>
    </row>
    <row r="66" spans="1:67" ht="15" customHeight="1">
      <c r="A66" s="1608" t="s">
        <v>48</v>
      </c>
      <c r="B66" s="1660"/>
      <c r="C66" s="1660"/>
      <c r="D66" s="1660"/>
      <c r="E66" s="1661"/>
      <c r="F66" s="1550" t="s">
        <v>607</v>
      </c>
      <c r="G66" s="1550"/>
      <c r="H66" s="1550"/>
      <c r="I66" s="1550"/>
      <c r="J66" s="1550"/>
      <c r="K66" s="1550"/>
      <c r="L66" s="1550"/>
      <c r="M66" s="1550"/>
      <c r="N66" s="1550"/>
      <c r="O66" s="1550"/>
      <c r="P66" s="1550"/>
      <c r="Q66" s="1550"/>
      <c r="R66" s="1550"/>
      <c r="S66" s="1550"/>
      <c r="T66" s="1550"/>
      <c r="U66" s="1550"/>
      <c r="V66" s="1550"/>
      <c r="W66" s="1550"/>
      <c r="X66" s="1550"/>
      <c r="Y66" s="1550"/>
      <c r="Z66" s="1550"/>
      <c r="AA66" s="1550"/>
      <c r="AB66" s="1550"/>
      <c r="AC66" s="1550"/>
      <c r="AD66" s="1550"/>
      <c r="AE66" s="1550"/>
      <c r="AF66" s="1550"/>
      <c r="AG66" s="1550"/>
      <c r="AH66" s="95"/>
      <c r="AI66" s="185"/>
      <c r="AJ66" s="185"/>
    </row>
    <row r="67" spans="1:67" ht="15" customHeight="1">
      <c r="A67" s="1662" t="s">
        <v>488</v>
      </c>
      <c r="B67" s="1662"/>
      <c r="C67" s="1662"/>
      <c r="D67" s="1662"/>
      <c r="E67" s="1662"/>
      <c r="F67" s="1662"/>
      <c r="G67" s="1662"/>
      <c r="H67" s="1662"/>
      <c r="I67" s="1662"/>
      <c r="J67" s="1662"/>
      <c r="K67" s="1662"/>
      <c r="L67" s="1662"/>
      <c r="M67" s="1662"/>
      <c r="N67" s="1662"/>
      <c r="O67" s="1662"/>
      <c r="P67" s="1662"/>
      <c r="Q67" s="1662"/>
      <c r="R67" s="1662"/>
      <c r="S67" s="1662"/>
      <c r="T67" s="1662"/>
      <c r="U67" s="1662"/>
      <c r="V67" s="1662"/>
      <c r="W67" s="1662"/>
      <c r="X67" s="1662"/>
      <c r="Y67" s="1662"/>
      <c r="Z67" s="1662"/>
      <c r="AA67" s="1662"/>
      <c r="AB67" s="1662"/>
      <c r="AC67" s="1662"/>
      <c r="AD67" s="1662"/>
      <c r="AE67" s="1662"/>
      <c r="AF67" s="1662"/>
      <c r="AG67" s="1662"/>
    </row>
    <row r="68" spans="1:67" ht="15" customHeight="1">
      <c r="A68" s="1663" t="s">
        <v>692</v>
      </c>
      <c r="B68" s="1663"/>
      <c r="C68" s="1663"/>
      <c r="D68" s="1663"/>
      <c r="E68" s="1663"/>
      <c r="F68" s="1663"/>
      <c r="G68" s="1663"/>
      <c r="H68" s="1663"/>
      <c r="I68" s="1663"/>
      <c r="J68" s="1663"/>
      <c r="K68" s="1663"/>
      <c r="L68" s="1663"/>
      <c r="M68" s="1663"/>
      <c r="N68" s="1663"/>
      <c r="O68" s="1663"/>
      <c r="P68" s="1663"/>
      <c r="Q68" s="1663"/>
      <c r="R68" s="1663"/>
      <c r="S68" s="1663"/>
      <c r="T68" s="1663"/>
      <c r="U68" s="1663"/>
      <c r="V68" s="1663"/>
      <c r="W68" s="1663"/>
      <c r="X68" s="1663"/>
      <c r="Y68" s="1663"/>
      <c r="Z68" s="1663"/>
      <c r="AA68" s="1663"/>
      <c r="AB68" s="1663"/>
      <c r="AC68" s="1663"/>
      <c r="AD68" s="1663"/>
      <c r="AE68" s="1663"/>
      <c r="AF68" s="1663"/>
      <c r="AG68" s="1663"/>
      <c r="AH68" s="176"/>
      <c r="AI68" s="176"/>
      <c r="AJ68" s="176"/>
      <c r="AK68" s="176"/>
      <c r="AL68" s="176"/>
      <c r="AM68" s="176"/>
      <c r="AN68" s="176"/>
      <c r="AO68" s="176"/>
      <c r="AP68" s="176"/>
      <c r="AQ68" s="176"/>
      <c r="AR68" s="176"/>
      <c r="AS68" s="176"/>
      <c r="AT68" s="176"/>
      <c r="AU68" s="176"/>
      <c r="AV68" s="176"/>
      <c r="AW68" s="176"/>
      <c r="AX68" s="176"/>
      <c r="AY68" s="176"/>
      <c r="AZ68" s="176"/>
      <c r="BA68" s="176"/>
      <c r="BB68" s="176"/>
      <c r="BC68" s="176"/>
      <c r="BD68" s="176"/>
      <c r="BE68" s="176"/>
      <c r="BF68" s="176"/>
      <c r="BG68" s="176"/>
      <c r="BH68" s="176"/>
      <c r="BI68" s="176"/>
      <c r="BJ68" s="176"/>
      <c r="BK68" s="176"/>
      <c r="BL68" s="176"/>
      <c r="BM68" s="176"/>
      <c r="BN68" s="176"/>
      <c r="BO68" s="176"/>
    </row>
    <row r="69" spans="1:67" s="176" customFormat="1" ht="15" customHeight="1" thickBot="1">
      <c r="A69" s="601"/>
      <c r="B69" s="601"/>
      <c r="C69" s="601"/>
      <c r="D69" s="601"/>
      <c r="E69" s="601"/>
      <c r="F69" s="601"/>
      <c r="G69" s="601"/>
      <c r="H69" s="601"/>
      <c r="I69" s="601"/>
      <c r="J69" s="601"/>
      <c r="K69" s="601"/>
      <c r="L69" s="601"/>
      <c r="M69" s="601"/>
      <c r="N69" s="601"/>
      <c r="O69" s="601"/>
      <c r="P69" s="601"/>
      <c r="Q69" s="601"/>
      <c r="R69" s="601"/>
      <c r="S69" s="601"/>
      <c r="T69" s="601"/>
      <c r="U69" s="601"/>
      <c r="V69" s="601"/>
      <c r="W69" s="601"/>
      <c r="X69" s="601"/>
      <c r="Y69" s="601"/>
      <c r="Z69" s="601"/>
      <c r="AA69" s="601"/>
      <c r="AB69" s="601"/>
      <c r="AC69" s="601"/>
      <c r="AD69" s="601"/>
      <c r="AE69" s="601"/>
      <c r="AF69" s="601"/>
      <c r="AG69" s="601"/>
      <c r="AH69" s="104"/>
      <c r="AI69" s="95"/>
      <c r="AJ69" s="95"/>
      <c r="AK69" s="95"/>
      <c r="AL69" s="95"/>
      <c r="AM69" s="95"/>
      <c r="AN69" s="95"/>
      <c r="AO69" s="95"/>
      <c r="AP69" s="95"/>
      <c r="AQ69" s="95"/>
      <c r="AR69" s="95"/>
      <c r="AS69" s="95"/>
      <c r="AT69" s="95"/>
      <c r="AU69" s="95"/>
      <c r="AV69" s="95"/>
      <c r="AW69" s="95"/>
      <c r="AX69" s="95"/>
      <c r="AY69" s="95"/>
      <c r="AZ69" s="95"/>
      <c r="BA69" s="95"/>
      <c r="BB69" s="95"/>
      <c r="BC69" s="95"/>
      <c r="BD69" s="95"/>
      <c r="BE69" s="95"/>
      <c r="BF69" s="95"/>
      <c r="BG69" s="95"/>
      <c r="BH69" s="95"/>
      <c r="BI69" s="95"/>
      <c r="BJ69" s="95"/>
      <c r="BK69" s="95"/>
      <c r="BL69" s="95"/>
      <c r="BM69" s="95"/>
      <c r="BN69" s="95"/>
      <c r="BO69" s="95"/>
    </row>
    <row r="70" spans="1:67" ht="15" customHeight="1" thickBot="1">
      <c r="A70" s="1562" t="s">
        <v>47</v>
      </c>
      <c r="B70" s="1562"/>
      <c r="C70" s="1562"/>
      <c r="D70" s="1562"/>
      <c r="E70" s="1562"/>
      <c r="F70" s="1562"/>
      <c r="G70" s="1562"/>
      <c r="H70" s="1562"/>
      <c r="I70" s="1582"/>
      <c r="J70" s="1483" t="str">
        <f>IF(AI71,"○","×")</f>
        <v>×</v>
      </c>
      <c r="K70" s="1484"/>
      <c r="L70" s="1484"/>
      <c r="M70" s="1484"/>
      <c r="N70" s="1485"/>
      <c r="O70" s="1471" t="s">
        <v>209</v>
      </c>
      <c r="P70" s="1393"/>
      <c r="Q70" s="1393"/>
      <c r="R70" s="601"/>
      <c r="S70" s="601"/>
      <c r="T70" s="601"/>
      <c r="U70" s="601"/>
      <c r="V70" s="636"/>
      <c r="W70" s="636"/>
      <c r="X70" s="636"/>
      <c r="Y70" s="636"/>
      <c r="Z70" s="636"/>
      <c r="AA70" s="636"/>
      <c r="AB70" s="636"/>
      <c r="AC70" s="636"/>
      <c r="AD70" s="636"/>
      <c r="AE70" s="636"/>
      <c r="AF70" s="601"/>
      <c r="AG70" s="601"/>
    </row>
    <row r="71" spans="1:67" ht="15" customHeight="1">
      <c r="A71" s="1457" t="s">
        <v>115</v>
      </c>
      <c r="B71" s="1455"/>
      <c r="C71" s="1455"/>
      <c r="D71" s="1455"/>
      <c r="E71" s="1398"/>
      <c r="F71" s="1506"/>
      <c r="G71" s="1507"/>
      <c r="H71" s="1507"/>
      <c r="I71" s="1507"/>
      <c r="J71" s="1507"/>
      <c r="K71" s="1508"/>
      <c r="L71" s="601"/>
      <c r="M71" s="601"/>
      <c r="N71" s="601"/>
      <c r="O71" s="601"/>
      <c r="P71" s="601"/>
      <c r="Q71" s="601"/>
      <c r="R71" s="601"/>
      <c r="S71" s="601"/>
      <c r="T71" s="601"/>
      <c r="U71" s="601"/>
      <c r="V71" s="920"/>
      <c r="W71" s="920"/>
      <c r="X71" s="920"/>
      <c r="Y71" s="920"/>
      <c r="Z71" s="920"/>
      <c r="AA71" s="920"/>
      <c r="AB71" s="920"/>
      <c r="AC71" s="920"/>
      <c r="AD71" s="920"/>
      <c r="AE71" s="636"/>
      <c r="AF71" s="601"/>
      <c r="AG71" s="601"/>
      <c r="AI71" s="914" t="b">
        <f>F71="申請する"</f>
        <v>0</v>
      </c>
    </row>
    <row r="72" spans="1:67" ht="15" customHeight="1">
      <c r="A72" s="1346" t="s">
        <v>69</v>
      </c>
      <c r="B72" s="1346"/>
      <c r="C72" s="1346"/>
      <c r="D72" s="1346"/>
      <c r="E72" s="1346"/>
      <c r="F72" s="1346"/>
      <c r="G72" s="1346"/>
      <c r="H72" s="1346"/>
      <c r="I72" s="1346"/>
      <c r="J72" s="1346"/>
      <c r="K72" s="1346"/>
      <c r="L72" s="1346"/>
      <c r="M72" s="1346"/>
      <c r="N72" s="1346"/>
      <c r="O72" s="1346"/>
      <c r="P72" s="1346"/>
      <c r="Q72" s="1346"/>
      <c r="R72" s="1346"/>
      <c r="S72" s="1346"/>
      <c r="T72" s="1346"/>
      <c r="U72" s="1346"/>
      <c r="V72" s="1346"/>
      <c r="W72" s="1346"/>
      <c r="X72" s="1346"/>
      <c r="Y72" s="1346"/>
      <c r="Z72" s="1346"/>
      <c r="AA72" s="1346"/>
      <c r="AB72" s="1346"/>
      <c r="AC72" s="1346"/>
      <c r="AD72" s="1346"/>
      <c r="AE72" s="1346"/>
      <c r="AF72" s="1346"/>
      <c r="AG72" s="1346"/>
    </row>
    <row r="73" spans="1:67" ht="15" customHeight="1">
      <c r="A73" s="917"/>
      <c r="B73" s="917"/>
      <c r="C73" s="917"/>
      <c r="D73" s="917"/>
      <c r="E73" s="917"/>
      <c r="F73" s="917"/>
      <c r="G73" s="917"/>
      <c r="H73" s="917"/>
      <c r="I73" s="917"/>
      <c r="J73" s="917"/>
      <c r="K73" s="917"/>
      <c r="L73" s="917"/>
      <c r="M73" s="917"/>
      <c r="N73" s="917"/>
      <c r="O73" s="917"/>
      <c r="P73" s="917"/>
      <c r="Q73" s="917"/>
      <c r="R73" s="917"/>
      <c r="S73" s="917"/>
      <c r="T73" s="917"/>
      <c r="U73" s="917"/>
      <c r="V73" s="917"/>
      <c r="W73" s="917"/>
      <c r="X73" s="917"/>
      <c r="Y73" s="917"/>
      <c r="Z73" s="917"/>
      <c r="AA73" s="917"/>
      <c r="AB73" s="917"/>
      <c r="AC73" s="917"/>
      <c r="AD73" s="917"/>
      <c r="AE73" s="917"/>
      <c r="AF73" s="917"/>
      <c r="AG73" s="917"/>
    </row>
    <row r="74" spans="1:67" ht="15" customHeight="1" thickBot="1">
      <c r="A74" s="601"/>
      <c r="B74" s="601"/>
      <c r="C74" s="601"/>
      <c r="D74" s="601"/>
      <c r="E74" s="601"/>
      <c r="F74" s="601"/>
      <c r="G74" s="601"/>
      <c r="H74" s="601"/>
      <c r="I74" s="601"/>
      <c r="J74" s="601"/>
      <c r="K74" s="601"/>
      <c r="L74" s="601"/>
      <c r="M74" s="601"/>
      <c r="N74" s="601"/>
      <c r="O74" s="601"/>
      <c r="P74" s="601"/>
      <c r="Q74" s="601"/>
      <c r="R74" s="601"/>
      <c r="S74" s="601"/>
      <c r="T74" s="601"/>
      <c r="U74" s="601"/>
      <c r="V74" s="601"/>
      <c r="W74" s="601"/>
      <c r="X74" s="601"/>
      <c r="Y74" s="601"/>
      <c r="Z74" s="601"/>
      <c r="AA74" s="601"/>
      <c r="AB74" s="601"/>
      <c r="AC74" s="601"/>
      <c r="AD74" s="601"/>
      <c r="AE74" s="601"/>
      <c r="AF74" s="601"/>
      <c r="AG74" s="601"/>
    </row>
    <row r="75" spans="1:67" ht="15" customHeight="1" thickBot="1">
      <c r="A75" s="1534" t="s">
        <v>562</v>
      </c>
      <c r="B75" s="1534"/>
      <c r="C75" s="1534"/>
      <c r="D75" s="1534"/>
      <c r="E75" s="1534"/>
      <c r="F75" s="1534"/>
      <c r="G75" s="1534"/>
      <c r="H75" s="1534"/>
      <c r="I75" s="1534"/>
      <c r="J75" s="1483" t="str">
        <f>IF(AND(AI76,AI78),"○","×")</f>
        <v>×</v>
      </c>
      <c r="K75" s="1484"/>
      <c r="L75" s="1484"/>
      <c r="M75" s="1484"/>
      <c r="N75" s="1485"/>
      <c r="O75" s="1471" t="s">
        <v>209</v>
      </c>
      <c r="P75" s="1393"/>
      <c r="Q75" s="1393"/>
      <c r="R75" s="601"/>
      <c r="S75" s="601"/>
      <c r="T75" s="601"/>
      <c r="U75" s="601"/>
      <c r="V75" s="636"/>
      <c r="W75" s="636"/>
      <c r="X75" s="636"/>
      <c r="Y75" s="636"/>
      <c r="Z75" s="636"/>
      <c r="AA75" s="636"/>
      <c r="AB75" s="636"/>
      <c r="AC75" s="636"/>
      <c r="AD75" s="636"/>
      <c r="AE75" s="601"/>
      <c r="AF75" s="601"/>
      <c r="AG75" s="601"/>
    </row>
    <row r="76" spans="1:67" ht="15" customHeight="1">
      <c r="A76" s="1399" t="s">
        <v>115</v>
      </c>
      <c r="B76" s="1399"/>
      <c r="C76" s="1399"/>
      <c r="D76" s="1399"/>
      <c r="E76" s="1399"/>
      <c r="F76" s="1603"/>
      <c r="G76" s="1603"/>
      <c r="H76" s="1603"/>
      <c r="I76" s="1603"/>
      <c r="J76" s="1604"/>
      <c r="K76" s="1604"/>
      <c r="L76" s="601"/>
      <c r="M76" s="601"/>
      <c r="N76" s="601"/>
      <c r="O76" s="601"/>
      <c r="P76" s="601"/>
      <c r="Q76" s="601"/>
      <c r="R76" s="601"/>
      <c r="S76" s="601"/>
      <c r="T76" s="601"/>
      <c r="U76" s="601"/>
      <c r="V76" s="601"/>
      <c r="W76" s="601"/>
      <c r="X76" s="601"/>
      <c r="Y76" s="601"/>
      <c r="Z76" s="601"/>
      <c r="AA76" s="601"/>
      <c r="AB76" s="601"/>
      <c r="AC76" s="601"/>
      <c r="AD76" s="601"/>
      <c r="AE76" s="601"/>
      <c r="AF76" s="601"/>
      <c r="AG76" s="601"/>
      <c r="AH76" s="95"/>
      <c r="AI76" s="914" t="b">
        <f>F76="申請する"</f>
        <v>0</v>
      </c>
      <c r="AN76" s="104"/>
      <c r="AO76" s="104"/>
      <c r="AP76" s="104"/>
      <c r="AQ76" s="104"/>
      <c r="AR76" s="104"/>
      <c r="AS76" s="104"/>
      <c r="AT76" s="104"/>
      <c r="AU76" s="104"/>
      <c r="AV76" s="104"/>
      <c r="AW76" s="104"/>
      <c r="AX76" s="104"/>
      <c r="AY76" s="104"/>
      <c r="AZ76" s="104"/>
      <c r="BA76" s="104"/>
      <c r="BB76" s="104"/>
      <c r="BC76" s="104"/>
      <c r="BD76" s="104"/>
      <c r="BE76" s="104"/>
      <c r="BF76" s="104"/>
      <c r="BG76" s="104"/>
      <c r="BH76" s="104"/>
      <c r="BI76" s="104"/>
      <c r="BJ76" s="104"/>
      <c r="BK76" s="104"/>
      <c r="BL76" s="104"/>
      <c r="BM76" s="104"/>
      <c r="BN76" s="104"/>
      <c r="BO76" s="104"/>
    </row>
    <row r="77" spans="1:67" s="104" customFormat="1" ht="15" customHeight="1">
      <c r="A77" s="1592" t="s">
        <v>140</v>
      </c>
      <c r="B77" s="1592"/>
      <c r="C77" s="1592"/>
      <c r="D77" s="1592"/>
      <c r="E77" s="1608"/>
      <c r="F77" s="1398" t="s">
        <v>99</v>
      </c>
      <c r="G77" s="1399"/>
      <c r="H77" s="1399"/>
      <c r="I77" s="1399"/>
      <c r="J77" s="1399"/>
      <c r="K77" s="1399"/>
      <c r="L77" s="1399"/>
      <c r="M77" s="1399"/>
      <c r="N77" s="1399"/>
      <c r="O77" s="1399"/>
      <c r="P77" s="1399"/>
      <c r="Q77" s="1399"/>
      <c r="R77" s="1399"/>
      <c r="S77" s="1399"/>
      <c r="T77" s="1399"/>
      <c r="U77" s="1399"/>
      <c r="V77" s="1399"/>
      <c r="W77" s="1399"/>
      <c r="X77" s="1399"/>
      <c r="Y77" s="1399"/>
      <c r="Z77" s="1399"/>
      <c r="AA77" s="1399" t="s">
        <v>210</v>
      </c>
      <c r="AB77" s="1399"/>
      <c r="AC77" s="1399"/>
      <c r="AD77" s="1399"/>
      <c r="AE77" s="657"/>
      <c r="AF77" s="657"/>
      <c r="AG77" s="657"/>
      <c r="AI77" s="106"/>
    </row>
    <row r="78" spans="1:67" s="104" customFormat="1" ht="15" customHeight="1">
      <c r="A78" s="1592"/>
      <c r="B78" s="1592"/>
      <c r="C78" s="1592"/>
      <c r="D78" s="1592"/>
      <c r="E78" s="1592"/>
      <c r="F78" s="1550" t="s">
        <v>614</v>
      </c>
      <c r="G78" s="1550"/>
      <c r="H78" s="1550"/>
      <c r="I78" s="1550"/>
      <c r="J78" s="1550"/>
      <c r="K78" s="1550"/>
      <c r="L78" s="1550"/>
      <c r="M78" s="1550"/>
      <c r="N78" s="1550"/>
      <c r="O78" s="1550"/>
      <c r="P78" s="1550"/>
      <c r="Q78" s="1550"/>
      <c r="R78" s="1550"/>
      <c r="S78" s="1550"/>
      <c r="T78" s="1550"/>
      <c r="U78" s="1550"/>
      <c r="V78" s="1550"/>
      <c r="W78" s="1550"/>
      <c r="X78" s="1550"/>
      <c r="Y78" s="1550"/>
      <c r="Z78" s="1550"/>
      <c r="AA78" s="1592" t="str">
        <f>【様式５】職員数算出表!O42</f>
        <v>-</v>
      </c>
      <c r="AB78" s="1592"/>
      <c r="AC78" s="1592"/>
      <c r="AD78" s="1592"/>
      <c r="AE78" s="657"/>
      <c r="AF78" s="657"/>
      <c r="AG78" s="657"/>
      <c r="AI78" s="914" t="b">
        <f>AA78="○"</f>
        <v>0</v>
      </c>
    </row>
    <row r="79" spans="1:67" s="104" customFormat="1" ht="15" customHeight="1">
      <c r="A79" s="1399" t="s">
        <v>48</v>
      </c>
      <c r="B79" s="1399"/>
      <c r="C79" s="1399"/>
      <c r="D79" s="1399"/>
      <c r="E79" s="1399"/>
      <c r="F79" s="1580" t="s">
        <v>607</v>
      </c>
      <c r="G79" s="1475"/>
      <c r="H79" s="1475"/>
      <c r="I79" s="1475"/>
      <c r="J79" s="1475"/>
      <c r="K79" s="1475"/>
      <c r="L79" s="1475"/>
      <c r="M79" s="1475"/>
      <c r="N79" s="1475"/>
      <c r="O79" s="1475"/>
      <c r="P79" s="1475"/>
      <c r="Q79" s="1475"/>
      <c r="R79" s="1475"/>
      <c r="S79" s="1475"/>
      <c r="T79" s="1475"/>
      <c r="U79" s="1475"/>
      <c r="V79" s="1475"/>
      <c r="W79" s="1475"/>
      <c r="X79" s="1475"/>
      <c r="Y79" s="1475"/>
      <c r="Z79" s="1475"/>
      <c r="AA79" s="1475"/>
      <c r="AB79" s="1475"/>
      <c r="AC79" s="1475"/>
      <c r="AD79" s="1476"/>
      <c r="AE79" s="601"/>
      <c r="AF79" s="601"/>
      <c r="AG79" s="601"/>
      <c r="AI79" s="95"/>
      <c r="AJ79" s="95"/>
      <c r="AK79" s="95"/>
      <c r="AL79" s="95"/>
      <c r="AM79" s="95"/>
      <c r="AN79" s="95"/>
      <c r="AO79" s="95"/>
      <c r="AP79" s="95"/>
      <c r="AQ79" s="95"/>
      <c r="AR79" s="95"/>
      <c r="AS79" s="95"/>
      <c r="AT79" s="95"/>
      <c r="AU79" s="95"/>
      <c r="AV79" s="95"/>
      <c r="AW79" s="95"/>
      <c r="AX79" s="95"/>
      <c r="AY79" s="95"/>
      <c r="AZ79" s="95"/>
      <c r="BA79" s="95"/>
      <c r="BB79" s="95"/>
      <c r="BC79" s="95"/>
      <c r="BD79" s="95"/>
      <c r="BE79" s="95"/>
      <c r="BF79" s="95"/>
      <c r="BG79" s="95"/>
      <c r="BH79" s="95"/>
      <c r="BI79" s="95"/>
      <c r="BJ79" s="95"/>
      <c r="BK79" s="95"/>
      <c r="BL79" s="95"/>
      <c r="BM79" s="95"/>
      <c r="BN79" s="95"/>
      <c r="BO79" s="95"/>
    </row>
    <row r="80" spans="1:67" ht="15" customHeight="1" thickBot="1">
      <c r="A80" s="657"/>
      <c r="B80" s="657"/>
      <c r="C80" s="657"/>
      <c r="D80" s="657"/>
      <c r="E80" s="657"/>
      <c r="F80" s="657"/>
      <c r="G80" s="657"/>
      <c r="H80" s="657"/>
      <c r="I80" s="657"/>
      <c r="J80" s="657"/>
      <c r="K80" s="657"/>
      <c r="L80" s="657"/>
      <c r="M80" s="657"/>
      <c r="N80" s="657"/>
      <c r="O80" s="657"/>
      <c r="P80" s="657"/>
      <c r="Q80" s="657"/>
      <c r="R80" s="657"/>
      <c r="S80" s="657"/>
      <c r="T80" s="657"/>
      <c r="U80" s="657"/>
      <c r="V80" s="657"/>
      <c r="W80" s="657"/>
      <c r="X80" s="657"/>
      <c r="Y80" s="657"/>
      <c r="Z80" s="657"/>
      <c r="AA80" s="657"/>
      <c r="AB80" s="657"/>
      <c r="AC80" s="657"/>
      <c r="AD80" s="657"/>
      <c r="AE80" s="657"/>
      <c r="AF80" s="657"/>
      <c r="AG80" s="657"/>
      <c r="AI80" s="104"/>
      <c r="AJ80" s="104"/>
      <c r="AK80" s="104"/>
      <c r="AL80" s="104"/>
      <c r="AM80" s="104"/>
    </row>
    <row r="81" spans="1:67" ht="15" customHeight="1" thickBot="1">
      <c r="A81" s="1596" t="s">
        <v>563</v>
      </c>
      <c r="B81" s="1596"/>
      <c r="C81" s="1596"/>
      <c r="D81" s="1596"/>
      <c r="E81" s="1596"/>
      <c r="F81" s="1596"/>
      <c r="G81" s="1596"/>
      <c r="H81" s="1596"/>
      <c r="I81" s="1596"/>
      <c r="J81" s="1483" t="str">
        <f>IFERROR(IF(AND(AI83,AI85,AI89,AI90),TEXT(AD93,"#,##0#")&amp;"人","×"),"エラー")</f>
        <v>エラー</v>
      </c>
      <c r="K81" s="1484"/>
      <c r="L81" s="1484"/>
      <c r="M81" s="1484"/>
      <c r="N81" s="1485"/>
      <c r="O81" s="1471" t="s">
        <v>209</v>
      </c>
      <c r="P81" s="1393"/>
      <c r="Q81" s="1393"/>
      <c r="R81" s="601"/>
      <c r="S81" s="601"/>
      <c r="T81" s="601"/>
      <c r="U81" s="601"/>
      <c r="V81" s="636"/>
      <c r="W81" s="636"/>
      <c r="X81" s="636"/>
      <c r="Y81" s="636"/>
      <c r="Z81" s="636"/>
      <c r="AA81" s="636"/>
      <c r="AB81" s="636"/>
      <c r="AC81" s="636"/>
      <c r="AD81" s="636"/>
      <c r="AE81" s="601"/>
      <c r="AF81" s="601"/>
      <c r="AG81" s="601"/>
    </row>
    <row r="82" spans="1:67" ht="15" customHeight="1">
      <c r="A82" s="762" t="s">
        <v>611</v>
      </c>
      <c r="B82" s="759"/>
      <c r="C82" s="760"/>
      <c r="D82" s="760"/>
      <c r="E82" s="760"/>
      <c r="F82" s="911"/>
      <c r="G82" s="911"/>
      <c r="H82" s="911"/>
      <c r="I82" s="911"/>
      <c r="J82" s="716"/>
      <c r="K82" s="716"/>
      <c r="L82" s="716"/>
      <c r="M82" s="716"/>
      <c r="N82" s="716"/>
      <c r="O82" s="920"/>
      <c r="P82" s="920"/>
      <c r="Q82" s="920"/>
      <c r="R82" s="636"/>
      <c r="S82" s="636"/>
      <c r="T82" s="636"/>
      <c r="U82" s="636"/>
      <c r="V82" s="920"/>
      <c r="W82" s="920"/>
      <c r="X82" s="920"/>
      <c r="Y82" s="920"/>
      <c r="Z82" s="920"/>
      <c r="AA82" s="920"/>
      <c r="AB82" s="920"/>
      <c r="AC82" s="920"/>
      <c r="AD82" s="920"/>
      <c r="AE82" s="636"/>
      <c r="AF82" s="636"/>
      <c r="AG82" s="636"/>
      <c r="AI82" s="91"/>
      <c r="AJ82" s="91"/>
      <c r="AK82" s="91"/>
      <c r="AL82" s="91"/>
      <c r="AM82" s="91"/>
      <c r="AN82" s="91"/>
      <c r="AO82" s="91"/>
      <c r="AP82" s="91"/>
      <c r="AQ82" s="91"/>
      <c r="AR82" s="91"/>
      <c r="AS82" s="91"/>
      <c r="AT82" s="91"/>
      <c r="AU82" s="91"/>
      <c r="AV82" s="91"/>
      <c r="AW82" s="91"/>
      <c r="AX82" s="91"/>
      <c r="AY82" s="91"/>
      <c r="AZ82" s="91"/>
      <c r="BA82" s="91"/>
      <c r="BB82" s="91"/>
      <c r="BC82" s="91"/>
      <c r="BD82" s="91"/>
      <c r="BE82" s="91"/>
      <c r="BF82" s="91"/>
      <c r="BG82" s="91"/>
      <c r="BH82" s="91"/>
      <c r="BI82" s="91"/>
      <c r="BJ82" s="91"/>
      <c r="BK82" s="91"/>
      <c r="BL82" s="91"/>
      <c r="BM82" s="91"/>
      <c r="BN82" s="91"/>
      <c r="BO82" s="91"/>
    </row>
    <row r="83" spans="1:67" s="91" customFormat="1" ht="15" customHeight="1">
      <c r="A83" s="1399" t="s">
        <v>115</v>
      </c>
      <c r="B83" s="1399"/>
      <c r="C83" s="1399"/>
      <c r="D83" s="1399"/>
      <c r="E83" s="1399"/>
      <c r="F83" s="1603"/>
      <c r="G83" s="1603"/>
      <c r="H83" s="1603"/>
      <c r="I83" s="1603"/>
      <c r="J83" s="1603"/>
      <c r="K83" s="1603"/>
      <c r="L83" s="601"/>
      <c r="M83" s="601"/>
      <c r="N83" s="601"/>
      <c r="O83" s="601"/>
      <c r="P83" s="601"/>
      <c r="Q83" s="601"/>
      <c r="R83" s="601"/>
      <c r="S83" s="601"/>
      <c r="T83" s="601"/>
      <c r="U83" s="601"/>
      <c r="V83" s="601"/>
      <c r="W83" s="601"/>
      <c r="X83" s="601"/>
      <c r="Y83" s="601"/>
      <c r="Z83" s="601"/>
      <c r="AA83" s="601"/>
      <c r="AB83" s="601"/>
      <c r="AC83" s="601"/>
      <c r="AD83" s="601"/>
      <c r="AE83" s="601"/>
      <c r="AF83" s="601"/>
      <c r="AG83" s="601"/>
      <c r="AH83" s="95"/>
      <c r="AI83" s="914" t="b">
        <f>F83="申請する"</f>
        <v>0</v>
      </c>
      <c r="AJ83" s="95"/>
      <c r="AK83" s="95"/>
      <c r="AL83" s="95"/>
      <c r="AM83" s="95"/>
      <c r="AN83" s="95"/>
      <c r="AO83" s="95"/>
      <c r="AP83" s="95"/>
      <c r="AQ83" s="95"/>
      <c r="AR83" s="95"/>
      <c r="AS83" s="95"/>
      <c r="AT83" s="95"/>
      <c r="AU83" s="95"/>
      <c r="AV83" s="95"/>
      <c r="AW83" s="95"/>
      <c r="AX83" s="95"/>
      <c r="AY83" s="95"/>
      <c r="AZ83" s="95"/>
      <c r="BA83" s="95"/>
      <c r="BB83" s="95"/>
      <c r="BC83" s="95"/>
      <c r="BD83" s="95"/>
      <c r="BE83" s="95"/>
      <c r="BF83" s="95"/>
      <c r="BG83" s="95"/>
      <c r="BH83" s="95"/>
      <c r="BI83" s="95"/>
      <c r="BJ83" s="95"/>
      <c r="BK83" s="95"/>
      <c r="BL83" s="95"/>
      <c r="BM83" s="95"/>
      <c r="BN83" s="95"/>
      <c r="BO83" s="95"/>
    </row>
    <row r="84" spans="1:67" ht="15" customHeight="1">
      <c r="A84" s="1448" t="s">
        <v>1173</v>
      </c>
      <c r="B84" s="1449"/>
      <c r="C84" s="1449"/>
      <c r="D84" s="1449"/>
      <c r="E84" s="1449"/>
      <c r="F84" s="1455" t="s">
        <v>99</v>
      </c>
      <c r="G84" s="1455"/>
      <c r="H84" s="1455"/>
      <c r="I84" s="1455"/>
      <c r="J84" s="1455"/>
      <c r="K84" s="1455"/>
      <c r="L84" s="1455"/>
      <c r="M84" s="1455"/>
      <c r="N84" s="1455"/>
      <c r="O84" s="1455"/>
      <c r="P84" s="1455"/>
      <c r="Q84" s="1455"/>
      <c r="R84" s="1455"/>
      <c r="S84" s="1455"/>
      <c r="T84" s="1455"/>
      <c r="U84" s="1455"/>
      <c r="V84" s="1455"/>
      <c r="W84" s="1455"/>
      <c r="X84" s="1455"/>
      <c r="Y84" s="1455"/>
      <c r="Z84" s="1398"/>
      <c r="AA84" s="1457" t="s">
        <v>210</v>
      </c>
      <c r="AB84" s="1455"/>
      <c r="AC84" s="1455"/>
      <c r="AD84" s="1398"/>
      <c r="AE84" s="601"/>
      <c r="AF84" s="601"/>
      <c r="AG84" s="601"/>
      <c r="AH84" s="95"/>
      <c r="AI84" s="185"/>
    </row>
    <row r="85" spans="1:67" ht="24.95" customHeight="1">
      <c r="A85" s="1450"/>
      <c r="B85" s="1451"/>
      <c r="C85" s="1451"/>
      <c r="D85" s="1451"/>
      <c r="E85" s="1518"/>
      <c r="F85" s="907">
        <v>1</v>
      </c>
      <c r="G85" s="1486" t="s">
        <v>621</v>
      </c>
      <c r="H85" s="1486"/>
      <c r="I85" s="1486"/>
      <c r="J85" s="1486"/>
      <c r="K85" s="1486"/>
      <c r="L85" s="1486"/>
      <c r="M85" s="1486"/>
      <c r="N85" s="1486"/>
      <c r="O85" s="1486"/>
      <c r="P85" s="1486"/>
      <c r="Q85" s="1486"/>
      <c r="R85" s="1486"/>
      <c r="S85" s="1486"/>
      <c r="T85" s="1486"/>
      <c r="U85" s="1486"/>
      <c r="V85" s="1486"/>
      <c r="W85" s="1486"/>
      <c r="X85" s="1486"/>
      <c r="Y85" s="1486"/>
      <c r="Z85" s="1519"/>
      <c r="AA85" s="1421" t="str">
        <f>IF(OR(AI86,AND(AI87,AI88)),"○","×")</f>
        <v>×</v>
      </c>
      <c r="AB85" s="1422"/>
      <c r="AC85" s="1422"/>
      <c r="AD85" s="1463"/>
      <c r="AE85" s="636"/>
      <c r="AF85" s="601"/>
      <c r="AG85" s="601"/>
      <c r="AI85" s="914" t="b">
        <f>AA85="○"</f>
        <v>0</v>
      </c>
      <c r="AV85" s="183"/>
      <c r="AW85" s="183"/>
      <c r="AX85" s="183"/>
    </row>
    <row r="86" spans="1:67" ht="15" customHeight="1">
      <c r="A86" s="1450"/>
      <c r="B86" s="1451"/>
      <c r="C86" s="1451"/>
      <c r="D86" s="1451"/>
      <c r="E86" s="1518"/>
      <c r="F86" s="1586" t="s">
        <v>136</v>
      </c>
      <c r="G86" s="1587"/>
      <c r="H86" s="1366" t="s">
        <v>455</v>
      </c>
      <c r="I86" s="1366"/>
      <c r="J86" s="1366"/>
      <c r="K86" s="1366"/>
      <c r="L86" s="1366"/>
      <c r="M86" s="1366"/>
      <c r="N86" s="1366"/>
      <c r="O86" s="1366"/>
      <c r="P86" s="1366"/>
      <c r="Q86" s="1366"/>
      <c r="R86" s="1366"/>
      <c r="S86" s="1366"/>
      <c r="T86" s="1366"/>
      <c r="U86" s="1366"/>
      <c r="V86" s="1366"/>
      <c r="W86" s="1366"/>
      <c r="X86" s="1366"/>
      <c r="Y86" s="1366"/>
      <c r="Z86" s="1367"/>
      <c r="AA86" s="1360"/>
      <c r="AB86" s="1361"/>
      <c r="AC86" s="1361"/>
      <c r="AD86" s="1362"/>
      <c r="AE86" s="636"/>
      <c r="AF86" s="601"/>
      <c r="AG86" s="601"/>
      <c r="AI86" s="914" t="b">
        <f>AA86="○"</f>
        <v>0</v>
      </c>
      <c r="AV86" s="402"/>
      <c r="AW86" s="402"/>
      <c r="AX86" s="402"/>
    </row>
    <row r="87" spans="1:67" ht="24.95" customHeight="1">
      <c r="A87" s="1450"/>
      <c r="B87" s="1451"/>
      <c r="C87" s="1451"/>
      <c r="D87" s="1451"/>
      <c r="E87" s="1518"/>
      <c r="F87" s="1421" t="s">
        <v>560</v>
      </c>
      <c r="G87" s="1422"/>
      <c r="H87" s="1489" t="s">
        <v>669</v>
      </c>
      <c r="I87" s="1489"/>
      <c r="J87" s="1489"/>
      <c r="K87" s="1489"/>
      <c r="L87" s="1489"/>
      <c r="M87" s="1489"/>
      <c r="N87" s="1489"/>
      <c r="O87" s="1489"/>
      <c r="P87" s="1489"/>
      <c r="Q87" s="1489"/>
      <c r="R87" s="1489"/>
      <c r="S87" s="1489"/>
      <c r="T87" s="1489"/>
      <c r="U87" s="1489"/>
      <c r="V87" s="1489"/>
      <c r="W87" s="1489"/>
      <c r="X87" s="1489"/>
      <c r="Y87" s="1489"/>
      <c r="Z87" s="1490"/>
      <c r="AA87" s="1360"/>
      <c r="AB87" s="1361"/>
      <c r="AC87" s="1361"/>
      <c r="AD87" s="1362"/>
      <c r="AE87" s="636"/>
      <c r="AF87" s="601"/>
      <c r="AG87" s="601"/>
      <c r="AI87" s="914" t="b">
        <f>AA87="○"</f>
        <v>0</v>
      </c>
      <c r="AV87" s="402"/>
      <c r="AW87" s="402"/>
      <c r="AX87" s="402"/>
    </row>
    <row r="88" spans="1:67" ht="15" customHeight="1">
      <c r="A88" s="1450"/>
      <c r="B88" s="1451"/>
      <c r="C88" s="1451"/>
      <c r="D88" s="1451"/>
      <c r="E88" s="1518"/>
      <c r="F88" s="1395"/>
      <c r="G88" s="1396"/>
      <c r="H88" s="1368" t="s">
        <v>561</v>
      </c>
      <c r="I88" s="1368"/>
      <c r="J88" s="1368"/>
      <c r="K88" s="1368"/>
      <c r="L88" s="1368"/>
      <c r="M88" s="1368"/>
      <c r="N88" s="1371"/>
      <c r="O88" s="1371"/>
      <c r="P88" s="1371"/>
      <c r="Q88" s="1371"/>
      <c r="R88" s="1371"/>
      <c r="S88" s="1371"/>
      <c r="T88" s="1371"/>
      <c r="U88" s="1371"/>
      <c r="V88" s="1371"/>
      <c r="W88" s="1371"/>
      <c r="X88" s="1371"/>
      <c r="Y88" s="1371"/>
      <c r="Z88" s="1372"/>
      <c r="AA88" s="1373"/>
      <c r="AB88" s="1374"/>
      <c r="AC88" s="1374"/>
      <c r="AD88" s="1375"/>
      <c r="AE88" s="636"/>
      <c r="AF88" s="601"/>
      <c r="AG88" s="601"/>
      <c r="AI88" s="918" t="b">
        <f>N88&lt;&gt;0</f>
        <v>0</v>
      </c>
      <c r="AV88" s="402"/>
      <c r="AW88" s="402"/>
      <c r="AX88" s="402"/>
    </row>
    <row r="89" spans="1:67" ht="30" customHeight="1">
      <c r="A89" s="1450"/>
      <c r="B89" s="1451"/>
      <c r="C89" s="1451"/>
      <c r="D89" s="1451"/>
      <c r="E89" s="1518"/>
      <c r="F89" s="1067">
        <v>2</v>
      </c>
      <c r="G89" s="1486" t="s">
        <v>1175</v>
      </c>
      <c r="H89" s="1486"/>
      <c r="I89" s="1486"/>
      <c r="J89" s="1486"/>
      <c r="K89" s="1486"/>
      <c r="L89" s="1486"/>
      <c r="M89" s="1486"/>
      <c r="N89" s="1486"/>
      <c r="O89" s="1486"/>
      <c r="P89" s="1486"/>
      <c r="Q89" s="1486"/>
      <c r="R89" s="1486"/>
      <c r="S89" s="1486"/>
      <c r="T89" s="1486"/>
      <c r="U89" s="1486"/>
      <c r="V89" s="1486"/>
      <c r="W89" s="1486"/>
      <c r="X89" s="1486"/>
      <c r="Y89" s="1486"/>
      <c r="Z89" s="1519"/>
      <c r="AA89" s="1389" t="e">
        <f>'(別紙3)休日'!$AC$5</f>
        <v>#DIV/0!</v>
      </c>
      <c r="AB89" s="1390"/>
      <c r="AC89" s="1390"/>
      <c r="AD89" s="1391"/>
      <c r="AE89" s="636"/>
      <c r="AF89" s="636"/>
      <c r="AG89" s="636"/>
      <c r="AI89" s="1089" t="e">
        <f>AA89="○"</f>
        <v>#DIV/0!</v>
      </c>
      <c r="AV89" s="91"/>
      <c r="AW89" s="91"/>
      <c r="AX89" s="91"/>
    </row>
    <row r="90" spans="1:67" ht="15" customHeight="1">
      <c r="A90" s="1389" t="s">
        <v>456</v>
      </c>
      <c r="B90" s="1390"/>
      <c r="C90" s="1390"/>
      <c r="D90" s="1390"/>
      <c r="E90" s="1391"/>
      <c r="F90" s="1457" t="s">
        <v>705</v>
      </c>
      <c r="G90" s="1455"/>
      <c r="H90" s="1455"/>
      <c r="I90" s="1455"/>
      <c r="J90" s="1455"/>
      <c r="K90" s="1455"/>
      <c r="L90" s="1455"/>
      <c r="M90" s="1455"/>
      <c r="N90" s="1455"/>
      <c r="O90" s="1455"/>
      <c r="P90" s="1455"/>
      <c r="Q90" s="1455"/>
      <c r="R90" s="1455"/>
      <c r="S90" s="1455"/>
      <c r="T90" s="1455"/>
      <c r="U90" s="1455"/>
      <c r="V90" s="1455"/>
      <c r="W90" s="1455"/>
      <c r="X90" s="1455"/>
      <c r="Y90" s="1455"/>
      <c r="Z90" s="1455"/>
      <c r="AA90" s="1455"/>
      <c r="AB90" s="1455"/>
      <c r="AC90" s="1398"/>
      <c r="AD90" s="1495"/>
      <c r="AE90" s="1496"/>
      <c r="AF90" s="1496"/>
      <c r="AG90" s="1497"/>
      <c r="AI90" s="97" t="b">
        <f>OR(AND(AI91,AI93),AND(AI92,AI93,AI94))</f>
        <v>0</v>
      </c>
    </row>
    <row r="91" spans="1:67" ht="15" customHeight="1">
      <c r="A91" s="1395"/>
      <c r="B91" s="1396"/>
      <c r="C91" s="1396"/>
      <c r="D91" s="1396"/>
      <c r="E91" s="1397"/>
      <c r="F91" s="1554">
        <v>4</v>
      </c>
      <c r="G91" s="1555"/>
      <c r="H91" s="1338">
        <v>5</v>
      </c>
      <c r="I91" s="1339"/>
      <c r="J91" s="1338">
        <v>6</v>
      </c>
      <c r="K91" s="1339"/>
      <c r="L91" s="1338">
        <v>7</v>
      </c>
      <c r="M91" s="1339"/>
      <c r="N91" s="1338">
        <v>8</v>
      </c>
      <c r="O91" s="1339"/>
      <c r="P91" s="1338">
        <v>9</v>
      </c>
      <c r="Q91" s="1339"/>
      <c r="R91" s="1338">
        <v>10</v>
      </c>
      <c r="S91" s="1339"/>
      <c r="T91" s="1338">
        <v>11</v>
      </c>
      <c r="U91" s="1339"/>
      <c r="V91" s="1338">
        <v>12</v>
      </c>
      <c r="W91" s="1339"/>
      <c r="X91" s="1338">
        <v>1</v>
      </c>
      <c r="Y91" s="1339"/>
      <c r="Z91" s="1338">
        <v>2</v>
      </c>
      <c r="AA91" s="1339"/>
      <c r="AB91" s="1338">
        <v>3</v>
      </c>
      <c r="AC91" s="1619"/>
      <c r="AD91" s="1622" t="s">
        <v>1</v>
      </c>
      <c r="AE91" s="1622"/>
      <c r="AF91" s="1622"/>
      <c r="AG91" s="1622"/>
      <c r="AI91" s="97" t="b">
        <f>AD90="○"</f>
        <v>0</v>
      </c>
    </row>
    <row r="92" spans="1:67" ht="35.1" customHeight="1">
      <c r="A92" s="1551" t="s">
        <v>1166</v>
      </c>
      <c r="B92" s="1551"/>
      <c r="C92" s="1551"/>
      <c r="D92" s="1551"/>
      <c r="E92" s="1551"/>
      <c r="F92" s="1585"/>
      <c r="G92" s="1340"/>
      <c r="H92" s="1340"/>
      <c r="I92" s="1340"/>
      <c r="J92" s="1340"/>
      <c r="K92" s="1340"/>
      <c r="L92" s="1340"/>
      <c r="M92" s="1340"/>
      <c r="N92" s="1340"/>
      <c r="O92" s="1340"/>
      <c r="P92" s="1340"/>
      <c r="Q92" s="1340"/>
      <c r="R92" s="1340"/>
      <c r="S92" s="1340"/>
      <c r="T92" s="1340"/>
      <c r="U92" s="1340"/>
      <c r="V92" s="1340"/>
      <c r="W92" s="1340"/>
      <c r="X92" s="1340"/>
      <c r="Y92" s="1340"/>
      <c r="Z92" s="1340"/>
      <c r="AA92" s="1340"/>
      <c r="AB92" s="1340"/>
      <c r="AC92" s="1620"/>
      <c r="AD92" s="1621">
        <f>IF(AD90="○","",SUM(F92:AC92))</f>
        <v>0</v>
      </c>
      <c r="AE92" s="1621"/>
      <c r="AF92" s="1621"/>
      <c r="AG92" s="1621"/>
      <c r="AI92" s="97" t="b">
        <f>AD92&gt;0</f>
        <v>0</v>
      </c>
    </row>
    <row r="93" spans="1:67" ht="46.5" customHeight="1">
      <c r="A93" s="1551" t="s">
        <v>1170</v>
      </c>
      <c r="B93" s="1551"/>
      <c r="C93" s="1551"/>
      <c r="D93" s="1551"/>
      <c r="E93" s="1551"/>
      <c r="F93" s="1601">
        <f>F92</f>
        <v>0</v>
      </c>
      <c r="G93" s="1602"/>
      <c r="H93" s="1369">
        <f t="shared" ref="H93" si="3">H92</f>
        <v>0</v>
      </c>
      <c r="I93" s="1370"/>
      <c r="J93" s="1369">
        <f t="shared" ref="J93" si="4">J92</f>
        <v>0</v>
      </c>
      <c r="K93" s="1370"/>
      <c r="L93" s="1369">
        <f t="shared" ref="L93" si="5">L92</f>
        <v>0</v>
      </c>
      <c r="M93" s="1370"/>
      <c r="N93" s="1369">
        <f t="shared" ref="N93" si="6">N92</f>
        <v>0</v>
      </c>
      <c r="O93" s="1370"/>
      <c r="P93" s="1369">
        <f t="shared" ref="P93" si="7">P92</f>
        <v>0</v>
      </c>
      <c r="Q93" s="1370"/>
      <c r="R93" s="1369">
        <f t="shared" ref="R93" si="8">R92</f>
        <v>0</v>
      </c>
      <c r="S93" s="1370"/>
      <c r="T93" s="1369">
        <f t="shared" ref="T93" si="9">T92</f>
        <v>0</v>
      </c>
      <c r="U93" s="1370"/>
      <c r="V93" s="1369">
        <f t="shared" ref="V93" si="10">V92</f>
        <v>0</v>
      </c>
      <c r="W93" s="1370"/>
      <c r="X93" s="1369">
        <f t="shared" ref="X93" si="11">X92</f>
        <v>0</v>
      </c>
      <c r="Y93" s="1370"/>
      <c r="Z93" s="1369">
        <f t="shared" ref="Z93" si="12">Z92</f>
        <v>0</v>
      </c>
      <c r="AA93" s="1370"/>
      <c r="AB93" s="1369">
        <f>AB92</f>
        <v>0</v>
      </c>
      <c r="AC93" s="1574"/>
      <c r="AD93" s="1553">
        <f>SUM(F93:AC93)</f>
        <v>0</v>
      </c>
      <c r="AE93" s="1553"/>
      <c r="AF93" s="1553"/>
      <c r="AG93" s="1553"/>
      <c r="AI93" s="97" t="b">
        <f>AD93&gt;0</f>
        <v>0</v>
      </c>
      <c r="AN93" s="91"/>
      <c r="AO93" s="91"/>
      <c r="AP93" s="91"/>
      <c r="AQ93" s="91"/>
      <c r="AR93" s="91"/>
      <c r="AS93" s="91"/>
      <c r="AT93" s="91"/>
      <c r="AU93" s="91"/>
      <c r="AV93" s="91"/>
      <c r="AW93" s="91"/>
      <c r="AX93" s="91"/>
      <c r="AY93" s="91"/>
      <c r="AZ93" s="91"/>
      <c r="BA93" s="91"/>
      <c r="BB93" s="91"/>
      <c r="BC93" s="91"/>
      <c r="BD93" s="91"/>
      <c r="BE93" s="91"/>
      <c r="BF93" s="91"/>
      <c r="BG93" s="91"/>
      <c r="BH93" s="91"/>
      <c r="BI93" s="91"/>
      <c r="BJ93" s="91"/>
      <c r="BK93" s="91"/>
      <c r="BL93" s="91"/>
      <c r="BM93" s="91"/>
      <c r="BN93" s="91"/>
      <c r="BO93" s="91"/>
    </row>
    <row r="94" spans="1:67" s="91" customFormat="1" ht="35.1" customHeight="1">
      <c r="A94" s="1556" t="s">
        <v>1167</v>
      </c>
      <c r="B94" s="1556"/>
      <c r="C94" s="1556"/>
      <c r="D94" s="1556"/>
      <c r="E94" s="1556"/>
      <c r="F94" s="1561"/>
      <c r="G94" s="1561"/>
      <c r="H94" s="1561"/>
      <c r="I94" s="1561"/>
      <c r="J94" s="1561"/>
      <c r="K94" s="1561"/>
      <c r="L94" s="1561"/>
      <c r="M94" s="1561"/>
      <c r="N94" s="1561"/>
      <c r="O94" s="1561"/>
      <c r="P94" s="1561"/>
      <c r="Q94" s="1561"/>
      <c r="R94" s="1561"/>
      <c r="S94" s="1561"/>
      <c r="T94" s="1561"/>
      <c r="U94" s="1561"/>
      <c r="V94" s="1561"/>
      <c r="W94" s="1561"/>
      <c r="X94" s="1561"/>
      <c r="Y94" s="1561"/>
      <c r="Z94" s="1561"/>
      <c r="AA94" s="1561"/>
      <c r="AB94" s="1561"/>
      <c r="AC94" s="1561"/>
      <c r="AD94" s="1547"/>
      <c r="AE94" s="1547"/>
      <c r="AF94" s="1547"/>
      <c r="AG94" s="1547"/>
      <c r="AH94" s="104"/>
      <c r="AI94" s="97" t="b">
        <f>OR(AND(IFERROR(ROUND((AD93/AD92-1)*100,0),0)&gt;=10,F94&lt;&gt;0),IFERROR(ROUND((AD93/AD92-1)*100,0),0)&lt;10)</f>
        <v>1</v>
      </c>
      <c r="AN94" s="95"/>
      <c r="AO94" s="95"/>
      <c r="AP94" s="95"/>
      <c r="AQ94" s="95"/>
      <c r="AR94" s="95"/>
      <c r="AS94" s="95"/>
      <c r="AT94" s="95"/>
      <c r="AU94" s="95"/>
      <c r="AV94" s="95"/>
      <c r="AW94" s="95"/>
      <c r="AX94" s="95"/>
      <c r="AY94" s="95"/>
      <c r="AZ94" s="95"/>
      <c r="BA94" s="95"/>
      <c r="BB94" s="95"/>
      <c r="BC94" s="95"/>
      <c r="BD94" s="95"/>
      <c r="BE94" s="95"/>
      <c r="BF94" s="95"/>
      <c r="BG94" s="95"/>
      <c r="BH94" s="95"/>
      <c r="BI94" s="95"/>
      <c r="BJ94" s="95"/>
      <c r="BK94" s="95"/>
      <c r="BL94" s="95"/>
      <c r="BM94" s="95"/>
      <c r="BN94" s="95"/>
      <c r="BO94" s="95"/>
    </row>
    <row r="95" spans="1:67" ht="15" customHeight="1">
      <c r="A95" s="1389" t="s">
        <v>48</v>
      </c>
      <c r="B95" s="1390"/>
      <c r="C95" s="1390"/>
      <c r="D95" s="1390"/>
      <c r="E95" s="1391"/>
      <c r="F95" s="1605" t="s">
        <v>1169</v>
      </c>
      <c r="G95" s="1486"/>
      <c r="H95" s="1486"/>
      <c r="I95" s="1486"/>
      <c r="J95" s="1486"/>
      <c r="K95" s="1486"/>
      <c r="L95" s="1486"/>
      <c r="M95" s="1486"/>
      <c r="N95" s="1486"/>
      <c r="O95" s="1486"/>
      <c r="P95" s="1486"/>
      <c r="Q95" s="1486"/>
      <c r="R95" s="1486"/>
      <c r="S95" s="1486"/>
      <c r="T95" s="1486"/>
      <c r="U95" s="1486"/>
      <c r="V95" s="1486"/>
      <c r="W95" s="1486"/>
      <c r="X95" s="1486"/>
      <c r="Y95" s="1486"/>
      <c r="Z95" s="1486"/>
      <c r="AA95" s="1486"/>
      <c r="AB95" s="1486"/>
      <c r="AC95" s="1486"/>
      <c r="AD95" s="1486"/>
      <c r="AE95" s="1486"/>
      <c r="AF95" s="1486"/>
      <c r="AG95" s="1519"/>
    </row>
    <row r="96" spans="1:67" ht="15" customHeight="1">
      <c r="A96" s="1395"/>
      <c r="B96" s="1396"/>
      <c r="C96" s="1396"/>
      <c r="D96" s="1396"/>
      <c r="E96" s="1397"/>
      <c r="F96" s="1548" t="s">
        <v>668</v>
      </c>
      <c r="G96" s="1516"/>
      <c r="H96" s="1516"/>
      <c r="I96" s="1516"/>
      <c r="J96" s="1516"/>
      <c r="K96" s="1516"/>
      <c r="L96" s="1516"/>
      <c r="M96" s="1516"/>
      <c r="N96" s="1516"/>
      <c r="O96" s="1516"/>
      <c r="P96" s="1516"/>
      <c r="Q96" s="1516"/>
      <c r="R96" s="1516"/>
      <c r="S96" s="1516"/>
      <c r="T96" s="1516"/>
      <c r="U96" s="1516"/>
      <c r="V96" s="1516"/>
      <c r="W96" s="1516"/>
      <c r="X96" s="1516"/>
      <c r="Y96" s="1516"/>
      <c r="Z96" s="1516"/>
      <c r="AA96" s="1516"/>
      <c r="AB96" s="1516"/>
      <c r="AC96" s="1516"/>
      <c r="AD96" s="1516"/>
      <c r="AE96" s="1516"/>
      <c r="AF96" s="1516"/>
      <c r="AG96" s="1549"/>
    </row>
    <row r="97" spans="1:35" ht="39.950000000000003" customHeight="1">
      <c r="A97" s="1346" t="s">
        <v>667</v>
      </c>
      <c r="B97" s="1346"/>
      <c r="C97" s="1346"/>
      <c r="D97" s="1346"/>
      <c r="E97" s="1346"/>
      <c r="F97" s="1346"/>
      <c r="G97" s="1346"/>
      <c r="H97" s="1346"/>
      <c r="I97" s="1346"/>
      <c r="J97" s="1346"/>
      <c r="K97" s="1346"/>
      <c r="L97" s="1346"/>
      <c r="M97" s="1346"/>
      <c r="N97" s="1346"/>
      <c r="O97" s="1346"/>
      <c r="P97" s="1346"/>
      <c r="Q97" s="1346"/>
      <c r="R97" s="1346"/>
      <c r="S97" s="1346"/>
      <c r="T97" s="1346"/>
      <c r="U97" s="1346"/>
      <c r="V97" s="1346"/>
      <c r="W97" s="1346"/>
      <c r="X97" s="1346"/>
      <c r="Y97" s="1346"/>
      <c r="Z97" s="1346"/>
      <c r="AA97" s="1346"/>
      <c r="AB97" s="1346"/>
      <c r="AC97" s="1346"/>
      <c r="AD97" s="1346"/>
      <c r="AE97" s="1346"/>
      <c r="AF97" s="1346"/>
      <c r="AG97" s="1346"/>
    </row>
    <row r="98" spans="1:35" ht="15" customHeight="1">
      <c r="A98" s="1346" t="s">
        <v>736</v>
      </c>
      <c r="B98" s="1346"/>
      <c r="C98" s="1346"/>
      <c r="D98" s="1346"/>
      <c r="E98" s="1346"/>
      <c r="F98" s="1346"/>
      <c r="G98" s="1346"/>
      <c r="H98" s="1346"/>
      <c r="I98" s="1346"/>
      <c r="J98" s="1346"/>
      <c r="K98" s="1346"/>
      <c r="L98" s="1346"/>
      <c r="M98" s="1346"/>
      <c r="N98" s="1346"/>
      <c r="O98" s="1346"/>
      <c r="P98" s="1346"/>
      <c r="Q98" s="1346"/>
      <c r="R98" s="1346"/>
      <c r="S98" s="1346"/>
      <c r="T98" s="1346"/>
      <c r="U98" s="1346"/>
      <c r="V98" s="1346"/>
      <c r="W98" s="1346"/>
      <c r="X98" s="1346"/>
      <c r="Y98" s="1346"/>
      <c r="Z98" s="1346"/>
      <c r="AA98" s="1346"/>
      <c r="AB98" s="1346"/>
      <c r="AC98" s="1346"/>
      <c r="AD98" s="1346"/>
      <c r="AE98" s="1346"/>
      <c r="AF98" s="1346"/>
      <c r="AG98" s="1346"/>
    </row>
    <row r="99" spans="1:35" ht="15" customHeight="1">
      <c r="A99" s="1552" t="s">
        <v>1073</v>
      </c>
      <c r="B99" s="1552"/>
      <c r="C99" s="1552"/>
      <c r="D99" s="1552"/>
      <c r="E99" s="1552"/>
      <c r="F99" s="1552"/>
      <c r="G99" s="1552"/>
      <c r="H99" s="1552"/>
      <c r="I99" s="1552"/>
      <c r="J99" s="1552"/>
      <c r="K99" s="1552"/>
      <c r="L99" s="1552"/>
      <c r="M99" s="1552"/>
      <c r="N99" s="1552"/>
      <c r="O99" s="1552"/>
      <c r="P99" s="1552"/>
      <c r="Q99" s="1552"/>
      <c r="R99" s="1552"/>
      <c r="S99" s="1552"/>
      <c r="T99" s="1552"/>
      <c r="U99" s="1552"/>
      <c r="V99" s="1552"/>
      <c r="W99" s="1552"/>
      <c r="X99" s="1552"/>
      <c r="Y99" s="1552"/>
      <c r="Z99" s="1552"/>
      <c r="AA99" s="1552"/>
      <c r="AB99" s="1552"/>
      <c r="AC99" s="1552"/>
      <c r="AD99" s="1552"/>
      <c r="AE99" s="1552"/>
      <c r="AF99" s="1552"/>
      <c r="AG99" s="1552"/>
    </row>
    <row r="100" spans="1:35" ht="24.95" customHeight="1">
      <c r="A100" s="1337" t="s">
        <v>739</v>
      </c>
      <c r="B100" s="1337"/>
      <c r="C100" s="1337"/>
      <c r="D100" s="1337"/>
      <c r="E100" s="1337"/>
      <c r="F100" s="1337"/>
      <c r="G100" s="1337"/>
      <c r="H100" s="1337"/>
      <c r="I100" s="1337"/>
      <c r="J100" s="1337"/>
      <c r="K100" s="1337"/>
      <c r="L100" s="1337"/>
      <c r="M100" s="1337"/>
      <c r="N100" s="1337"/>
      <c r="O100" s="1337"/>
      <c r="P100" s="1337"/>
      <c r="Q100" s="1337"/>
      <c r="R100" s="1337"/>
      <c r="S100" s="1337"/>
      <c r="T100" s="1337"/>
      <c r="U100" s="1337"/>
      <c r="V100" s="1337"/>
      <c r="W100" s="1337"/>
      <c r="X100" s="1337"/>
      <c r="Y100" s="1337"/>
      <c r="Z100" s="1337"/>
      <c r="AA100" s="1337"/>
      <c r="AB100" s="1337"/>
      <c r="AC100" s="1337"/>
      <c r="AD100" s="1337"/>
      <c r="AE100" s="1337"/>
      <c r="AF100" s="1337"/>
      <c r="AG100" s="1337"/>
    </row>
    <row r="101" spans="1:35" ht="15" customHeight="1">
      <c r="A101" s="1337" t="s">
        <v>740</v>
      </c>
      <c r="B101" s="1337"/>
      <c r="C101" s="1337"/>
      <c r="D101" s="1337"/>
      <c r="E101" s="1337"/>
      <c r="F101" s="1337"/>
      <c r="G101" s="1337"/>
      <c r="H101" s="1337"/>
      <c r="I101" s="1337"/>
      <c r="J101" s="1337"/>
      <c r="K101" s="1337"/>
      <c r="L101" s="1337"/>
      <c r="M101" s="1337"/>
      <c r="N101" s="1337"/>
      <c r="O101" s="1337"/>
      <c r="P101" s="1337"/>
      <c r="Q101" s="1337"/>
      <c r="R101" s="1337"/>
      <c r="S101" s="1337"/>
      <c r="T101" s="1337"/>
      <c r="U101" s="1337"/>
      <c r="V101" s="1337"/>
      <c r="W101" s="1337"/>
      <c r="X101" s="1337"/>
      <c r="Y101" s="1337"/>
      <c r="Z101" s="1337"/>
      <c r="AA101" s="1337"/>
      <c r="AB101" s="1337"/>
      <c r="AC101" s="1337"/>
      <c r="AD101" s="1337"/>
      <c r="AE101" s="1337"/>
      <c r="AF101" s="1337"/>
      <c r="AG101" s="1337"/>
    </row>
    <row r="102" spans="1:35" ht="24" customHeight="1">
      <c r="A102" s="1337" t="s">
        <v>1168</v>
      </c>
      <c r="B102" s="1337"/>
      <c r="C102" s="1337"/>
      <c r="D102" s="1337"/>
      <c r="E102" s="1337"/>
      <c r="F102" s="1337"/>
      <c r="G102" s="1337"/>
      <c r="H102" s="1337"/>
      <c r="I102" s="1337"/>
      <c r="J102" s="1337"/>
      <c r="K102" s="1337"/>
      <c r="L102" s="1337"/>
      <c r="M102" s="1337"/>
      <c r="N102" s="1337"/>
      <c r="O102" s="1337"/>
      <c r="P102" s="1337"/>
      <c r="Q102" s="1337"/>
      <c r="R102" s="1337"/>
      <c r="S102" s="1337"/>
      <c r="T102" s="1337"/>
      <c r="U102" s="1337"/>
      <c r="V102" s="1337"/>
      <c r="W102" s="1337"/>
      <c r="X102" s="1337"/>
      <c r="Y102" s="1337"/>
      <c r="Z102" s="1337"/>
      <c r="AA102" s="1337"/>
      <c r="AB102" s="1337"/>
      <c r="AC102" s="1337"/>
      <c r="AD102" s="1337"/>
      <c r="AE102" s="1337"/>
      <c r="AF102" s="1337"/>
      <c r="AG102" s="1337"/>
    </row>
    <row r="103" spans="1:35" ht="15" customHeight="1" thickBot="1">
      <c r="A103" s="917"/>
      <c r="B103" s="917"/>
      <c r="C103" s="917"/>
      <c r="D103" s="917"/>
      <c r="E103" s="917"/>
      <c r="F103" s="917"/>
      <c r="G103" s="917"/>
      <c r="H103" s="917"/>
      <c r="I103" s="917"/>
      <c r="J103" s="917"/>
      <c r="K103" s="917"/>
      <c r="L103" s="917"/>
      <c r="M103" s="917"/>
      <c r="N103" s="917"/>
      <c r="O103" s="917"/>
      <c r="P103" s="917"/>
      <c r="Q103" s="917"/>
      <c r="R103" s="917"/>
      <c r="S103" s="917"/>
      <c r="T103" s="917"/>
      <c r="U103" s="917"/>
      <c r="V103" s="917"/>
      <c r="W103" s="917"/>
      <c r="X103" s="917"/>
      <c r="Y103" s="917"/>
      <c r="Z103" s="917"/>
      <c r="AA103" s="917"/>
      <c r="AB103" s="917"/>
      <c r="AC103" s="917"/>
      <c r="AD103" s="917"/>
      <c r="AE103" s="917"/>
      <c r="AF103" s="601"/>
      <c r="AG103" s="601"/>
    </row>
    <row r="104" spans="1:35" ht="15" customHeight="1" thickBot="1">
      <c r="A104" s="1562" t="s">
        <v>564</v>
      </c>
      <c r="B104" s="1562"/>
      <c r="C104" s="1562"/>
      <c r="D104" s="1562"/>
      <c r="E104" s="1562"/>
      <c r="F104" s="1562"/>
      <c r="G104" s="1562"/>
      <c r="H104" s="1562"/>
      <c r="I104" s="1562"/>
      <c r="J104" s="1483" t="str">
        <f>IF(AND(AI105,AI107,AI108,OR(AI109,AI110),AI114),"○","×")</f>
        <v>×</v>
      </c>
      <c r="K104" s="1484"/>
      <c r="L104" s="1484"/>
      <c r="M104" s="1484"/>
      <c r="N104" s="1485"/>
      <c r="O104" s="1471" t="s">
        <v>209</v>
      </c>
      <c r="P104" s="1393"/>
      <c r="Q104" s="1393"/>
      <c r="R104" s="601"/>
      <c r="S104" s="601"/>
      <c r="T104" s="601"/>
      <c r="U104" s="601"/>
      <c r="V104" s="636"/>
      <c r="W104" s="636"/>
      <c r="X104" s="636"/>
      <c r="Y104" s="636"/>
      <c r="Z104" s="636"/>
      <c r="AA104" s="636"/>
      <c r="AB104" s="636"/>
      <c r="AC104" s="636"/>
      <c r="AD104" s="636"/>
      <c r="AE104" s="601"/>
      <c r="AF104" s="601"/>
      <c r="AG104" s="601"/>
    </row>
    <row r="105" spans="1:35" ht="15" customHeight="1">
      <c r="A105" s="1399" t="s">
        <v>115</v>
      </c>
      <c r="B105" s="1399"/>
      <c r="C105" s="1399"/>
      <c r="D105" s="1399"/>
      <c r="E105" s="1399"/>
      <c r="F105" s="1603"/>
      <c r="G105" s="1603"/>
      <c r="H105" s="1603"/>
      <c r="I105" s="1603"/>
      <c r="J105" s="1604"/>
      <c r="K105" s="1604"/>
      <c r="L105" s="601"/>
      <c r="M105" s="601"/>
      <c r="N105" s="601"/>
      <c r="O105" s="601"/>
      <c r="P105" s="601"/>
      <c r="Q105" s="601"/>
      <c r="R105" s="601"/>
      <c r="S105" s="601"/>
      <c r="T105" s="601"/>
      <c r="U105" s="601"/>
      <c r="V105" s="601"/>
      <c r="W105" s="601"/>
      <c r="X105" s="601"/>
      <c r="Y105" s="601"/>
      <c r="Z105" s="601"/>
      <c r="AA105" s="601"/>
      <c r="AB105" s="601"/>
      <c r="AC105" s="601"/>
      <c r="AD105" s="601"/>
      <c r="AE105" s="601"/>
      <c r="AF105" s="601"/>
      <c r="AG105" s="601"/>
      <c r="AH105" s="95"/>
      <c r="AI105" s="914" t="b">
        <f>F105="申請する"</f>
        <v>0</v>
      </c>
    </row>
    <row r="106" spans="1:35" ht="15" customHeight="1">
      <c r="A106" s="1448" t="s">
        <v>473</v>
      </c>
      <c r="B106" s="1449"/>
      <c r="C106" s="1449"/>
      <c r="D106" s="1449"/>
      <c r="E106" s="1449"/>
      <c r="F106" s="1455" t="s">
        <v>99</v>
      </c>
      <c r="G106" s="1455"/>
      <c r="H106" s="1455"/>
      <c r="I106" s="1455"/>
      <c r="J106" s="1455"/>
      <c r="K106" s="1455"/>
      <c r="L106" s="1455"/>
      <c r="M106" s="1455"/>
      <c r="N106" s="1455"/>
      <c r="O106" s="1455"/>
      <c r="P106" s="1455"/>
      <c r="Q106" s="1455"/>
      <c r="R106" s="1455"/>
      <c r="S106" s="1455"/>
      <c r="T106" s="1455"/>
      <c r="U106" s="1455"/>
      <c r="V106" s="1455"/>
      <c r="W106" s="1455"/>
      <c r="X106" s="1455"/>
      <c r="Y106" s="1455"/>
      <c r="Z106" s="1398"/>
      <c r="AA106" s="1457" t="s">
        <v>210</v>
      </c>
      <c r="AB106" s="1455"/>
      <c r="AC106" s="1455"/>
      <c r="AD106" s="1398"/>
      <c r="AE106" s="601"/>
      <c r="AF106" s="601"/>
      <c r="AG106" s="601"/>
    </row>
    <row r="107" spans="1:35" ht="39.950000000000003" customHeight="1">
      <c r="A107" s="1450"/>
      <c r="B107" s="1451"/>
      <c r="C107" s="1451"/>
      <c r="D107" s="1451"/>
      <c r="E107" s="1451"/>
      <c r="F107" s="921">
        <v>1</v>
      </c>
      <c r="G107" s="1486" t="s">
        <v>631</v>
      </c>
      <c r="H107" s="1486"/>
      <c r="I107" s="1486"/>
      <c r="J107" s="1486"/>
      <c r="K107" s="1486"/>
      <c r="L107" s="1486"/>
      <c r="M107" s="1486"/>
      <c r="N107" s="1486"/>
      <c r="O107" s="1486"/>
      <c r="P107" s="1486"/>
      <c r="Q107" s="1486"/>
      <c r="R107" s="1486"/>
      <c r="S107" s="1486"/>
      <c r="T107" s="1486"/>
      <c r="U107" s="1486"/>
      <c r="V107" s="1486"/>
      <c r="W107" s="1486"/>
      <c r="X107" s="1486"/>
      <c r="Y107" s="1486"/>
      <c r="Z107" s="1519"/>
      <c r="AA107" s="1506"/>
      <c r="AB107" s="1507"/>
      <c r="AC107" s="1507"/>
      <c r="AD107" s="1508"/>
      <c r="AE107" s="636"/>
      <c r="AF107" s="636"/>
      <c r="AG107" s="636"/>
      <c r="AI107" s="914" t="b">
        <f t="shared" ref="AI107:AI114" si="13">AA107="○"</f>
        <v>0</v>
      </c>
    </row>
    <row r="108" spans="1:35" ht="24.95" customHeight="1">
      <c r="A108" s="1450"/>
      <c r="B108" s="1451"/>
      <c r="C108" s="1451"/>
      <c r="D108" s="1451"/>
      <c r="E108" s="1451"/>
      <c r="F108" s="921">
        <v>2</v>
      </c>
      <c r="G108" s="1486" t="s">
        <v>635</v>
      </c>
      <c r="H108" s="1486"/>
      <c r="I108" s="1486"/>
      <c r="J108" s="1486"/>
      <c r="K108" s="1486"/>
      <c r="L108" s="1486"/>
      <c r="M108" s="1486"/>
      <c r="N108" s="1486"/>
      <c r="O108" s="1486"/>
      <c r="P108" s="1486"/>
      <c r="Q108" s="1486"/>
      <c r="R108" s="1486"/>
      <c r="S108" s="1486"/>
      <c r="T108" s="1486"/>
      <c r="U108" s="1486"/>
      <c r="V108" s="1486"/>
      <c r="W108" s="1486"/>
      <c r="X108" s="1486"/>
      <c r="Y108" s="1486"/>
      <c r="Z108" s="1519"/>
      <c r="AA108" s="1506"/>
      <c r="AB108" s="1507"/>
      <c r="AC108" s="1507"/>
      <c r="AD108" s="1508"/>
      <c r="AE108" s="636"/>
      <c r="AF108" s="636"/>
      <c r="AG108" s="636"/>
      <c r="AI108" s="914" t="b">
        <f t="shared" si="13"/>
        <v>0</v>
      </c>
    </row>
    <row r="109" spans="1:35" ht="24.95" customHeight="1">
      <c r="A109" s="1450"/>
      <c r="B109" s="1451"/>
      <c r="C109" s="1451"/>
      <c r="D109" s="1451"/>
      <c r="E109" s="1451"/>
      <c r="F109" s="907">
        <v>3</v>
      </c>
      <c r="G109" s="1486" t="s">
        <v>636</v>
      </c>
      <c r="H109" s="1486"/>
      <c r="I109" s="1486"/>
      <c r="J109" s="1428"/>
      <c r="K109" s="1428"/>
      <c r="L109" s="1428"/>
      <c r="M109" s="1428"/>
      <c r="N109" s="1428"/>
      <c r="O109" s="1428"/>
      <c r="P109" s="1428"/>
      <c r="Q109" s="1428"/>
      <c r="R109" s="1428"/>
      <c r="S109" s="1428"/>
      <c r="T109" s="1428"/>
      <c r="U109" s="1428"/>
      <c r="V109" s="1428"/>
      <c r="W109" s="1428"/>
      <c r="X109" s="1428"/>
      <c r="Y109" s="1428"/>
      <c r="Z109" s="1429"/>
      <c r="AA109" s="1544"/>
      <c r="AB109" s="1545"/>
      <c r="AC109" s="1545"/>
      <c r="AD109" s="1546"/>
      <c r="AE109" s="636"/>
      <c r="AF109" s="636"/>
      <c r="AG109" s="636"/>
      <c r="AI109" s="914" t="b">
        <f t="shared" si="13"/>
        <v>0</v>
      </c>
    </row>
    <row r="110" spans="1:35" ht="50.1" customHeight="1">
      <c r="A110" s="1450"/>
      <c r="B110" s="1451"/>
      <c r="C110" s="1451"/>
      <c r="D110" s="1451"/>
      <c r="E110" s="1451"/>
      <c r="F110" s="1559" t="s">
        <v>628</v>
      </c>
      <c r="G110" s="1489"/>
      <c r="H110" s="1489"/>
      <c r="I110" s="1489"/>
      <c r="J110" s="1520" t="s">
        <v>629</v>
      </c>
      <c r="K110" s="1366"/>
      <c r="L110" s="1366"/>
      <c r="M110" s="1366"/>
      <c r="N110" s="1366"/>
      <c r="O110" s="1366"/>
      <c r="P110" s="1366"/>
      <c r="Q110" s="1366"/>
      <c r="R110" s="1366"/>
      <c r="S110" s="1366"/>
      <c r="T110" s="1366"/>
      <c r="U110" s="1366"/>
      <c r="V110" s="1366"/>
      <c r="W110" s="1366"/>
      <c r="X110" s="1366"/>
      <c r="Y110" s="1366"/>
      <c r="Z110" s="1367"/>
      <c r="AA110" s="1586" t="str">
        <f>IF(AA109="×",IF(AND(AI111,AI112,AI113),"○","×"),"")</f>
        <v/>
      </c>
      <c r="AB110" s="1587"/>
      <c r="AC110" s="1587"/>
      <c r="AD110" s="1597"/>
      <c r="AE110" s="636"/>
      <c r="AF110" s="636"/>
      <c r="AG110" s="636"/>
      <c r="AI110" s="914" t="b">
        <f t="shared" si="13"/>
        <v>0</v>
      </c>
    </row>
    <row r="111" spans="1:35" ht="24.95" customHeight="1">
      <c r="A111" s="1450"/>
      <c r="B111" s="1451"/>
      <c r="C111" s="1451"/>
      <c r="D111" s="1451"/>
      <c r="E111" s="1451"/>
      <c r="F111" s="1403"/>
      <c r="G111" s="1346"/>
      <c r="H111" s="1346"/>
      <c r="I111" s="1346"/>
      <c r="J111" s="942" t="s">
        <v>136</v>
      </c>
      <c r="K111" s="1346" t="s">
        <v>457</v>
      </c>
      <c r="L111" s="1346"/>
      <c r="M111" s="1346"/>
      <c r="N111" s="1346"/>
      <c r="O111" s="1346"/>
      <c r="P111" s="1346"/>
      <c r="Q111" s="1346"/>
      <c r="R111" s="1346"/>
      <c r="S111" s="1346"/>
      <c r="T111" s="1346"/>
      <c r="U111" s="1346"/>
      <c r="V111" s="1346"/>
      <c r="W111" s="1346"/>
      <c r="X111" s="1346"/>
      <c r="Y111" s="1346"/>
      <c r="Z111" s="1404"/>
      <c r="AA111" s="1544"/>
      <c r="AB111" s="1545"/>
      <c r="AC111" s="1545"/>
      <c r="AD111" s="1546"/>
      <c r="AE111" s="636"/>
      <c r="AF111" s="636"/>
      <c r="AG111" s="636"/>
      <c r="AI111" s="914" t="b">
        <f t="shared" si="13"/>
        <v>0</v>
      </c>
    </row>
    <row r="112" spans="1:35" ht="24.95" customHeight="1">
      <c r="A112" s="1450"/>
      <c r="B112" s="1451"/>
      <c r="C112" s="1451"/>
      <c r="D112" s="1451"/>
      <c r="E112" s="1451"/>
      <c r="F112" s="1403"/>
      <c r="G112" s="1346"/>
      <c r="H112" s="1346"/>
      <c r="I112" s="1346"/>
      <c r="J112" s="712" t="s">
        <v>137</v>
      </c>
      <c r="K112" s="1489" t="s">
        <v>138</v>
      </c>
      <c r="L112" s="1489"/>
      <c r="M112" s="1489"/>
      <c r="N112" s="1489"/>
      <c r="O112" s="1489"/>
      <c r="P112" s="1489"/>
      <c r="Q112" s="1489"/>
      <c r="R112" s="1489"/>
      <c r="S112" s="1489"/>
      <c r="T112" s="1489"/>
      <c r="U112" s="1489"/>
      <c r="V112" s="1489"/>
      <c r="W112" s="1489"/>
      <c r="X112" s="1489"/>
      <c r="Y112" s="1489"/>
      <c r="Z112" s="1490"/>
      <c r="AA112" s="1503"/>
      <c r="AB112" s="1504"/>
      <c r="AC112" s="1504"/>
      <c r="AD112" s="1505"/>
      <c r="AE112" s="636"/>
      <c r="AF112" s="636"/>
      <c r="AG112" s="636"/>
      <c r="AI112" s="914" t="b">
        <f t="shared" si="13"/>
        <v>0</v>
      </c>
    </row>
    <row r="113" spans="1:67" ht="39.950000000000003" customHeight="1">
      <c r="A113" s="1450"/>
      <c r="B113" s="1451"/>
      <c r="C113" s="1451"/>
      <c r="D113" s="1451"/>
      <c r="E113" s="1451"/>
      <c r="F113" s="1548"/>
      <c r="G113" s="1516"/>
      <c r="H113" s="1516"/>
      <c r="I113" s="1516"/>
      <c r="J113" s="713" t="s">
        <v>139</v>
      </c>
      <c r="K113" s="1557" t="s">
        <v>627</v>
      </c>
      <c r="L113" s="1557"/>
      <c r="M113" s="1557"/>
      <c r="N113" s="1557"/>
      <c r="O113" s="1557"/>
      <c r="P113" s="1557"/>
      <c r="Q113" s="1557"/>
      <c r="R113" s="1557"/>
      <c r="S113" s="1557"/>
      <c r="T113" s="1557"/>
      <c r="U113" s="1557"/>
      <c r="V113" s="1557"/>
      <c r="W113" s="1557"/>
      <c r="X113" s="1557"/>
      <c r="Y113" s="1557"/>
      <c r="Z113" s="1558"/>
      <c r="AA113" s="1373"/>
      <c r="AB113" s="1374"/>
      <c r="AC113" s="1374"/>
      <c r="AD113" s="1375"/>
      <c r="AE113" s="636"/>
      <c r="AF113" s="636"/>
      <c r="AG113" s="636"/>
      <c r="AI113" s="914" t="b">
        <f t="shared" si="13"/>
        <v>0</v>
      </c>
    </row>
    <row r="114" spans="1:67" ht="24.95" customHeight="1">
      <c r="A114" s="1452"/>
      <c r="B114" s="1453"/>
      <c r="C114" s="1453"/>
      <c r="D114" s="1453"/>
      <c r="E114" s="1453"/>
      <c r="F114" s="908">
        <v>4</v>
      </c>
      <c r="G114" s="1486" t="s">
        <v>458</v>
      </c>
      <c r="H114" s="1486"/>
      <c r="I114" s="1486"/>
      <c r="J114" s="1486"/>
      <c r="K114" s="1486"/>
      <c r="L114" s="1486"/>
      <c r="M114" s="1486"/>
      <c r="N114" s="1486"/>
      <c r="O114" s="1486"/>
      <c r="P114" s="1486"/>
      <c r="Q114" s="1486"/>
      <c r="R114" s="1486"/>
      <c r="S114" s="1486"/>
      <c r="T114" s="1486"/>
      <c r="U114" s="1486"/>
      <c r="V114" s="1486"/>
      <c r="W114" s="1486"/>
      <c r="X114" s="1486"/>
      <c r="Y114" s="1486"/>
      <c r="Z114" s="1519"/>
      <c r="AA114" s="1392" t="str">
        <f>IF(J119="○","×","○")</f>
        <v>○</v>
      </c>
      <c r="AB114" s="1393"/>
      <c r="AC114" s="1393"/>
      <c r="AD114" s="1394"/>
      <c r="AE114" s="636"/>
      <c r="AF114" s="636"/>
      <c r="AG114" s="636"/>
      <c r="AI114" s="914" t="b">
        <f t="shared" si="13"/>
        <v>1</v>
      </c>
    </row>
    <row r="115" spans="1:67" ht="15" customHeight="1">
      <c r="A115" s="1696" t="s">
        <v>48</v>
      </c>
      <c r="B115" s="1696"/>
      <c r="C115" s="1696"/>
      <c r="D115" s="1696"/>
      <c r="E115" s="1696"/>
      <c r="F115" s="1560" t="s">
        <v>828</v>
      </c>
      <c r="G115" s="1560"/>
      <c r="H115" s="1560"/>
      <c r="I115" s="1560"/>
      <c r="J115" s="1560"/>
      <c r="K115" s="1560"/>
      <c r="L115" s="1560"/>
      <c r="M115" s="1560"/>
      <c r="N115" s="1560"/>
      <c r="O115" s="1560"/>
      <c r="P115" s="1560"/>
      <c r="Q115" s="1560"/>
      <c r="R115" s="1560"/>
      <c r="S115" s="1560"/>
      <c r="T115" s="1560"/>
      <c r="U115" s="1560"/>
      <c r="V115" s="1560"/>
      <c r="W115" s="1560"/>
      <c r="X115" s="1560"/>
      <c r="Y115" s="1560"/>
      <c r="Z115" s="1560"/>
      <c r="AA115" s="1560"/>
      <c r="AB115" s="1560"/>
      <c r="AC115" s="1560"/>
      <c r="AD115" s="1560"/>
      <c r="AE115" s="636"/>
      <c r="AF115" s="636"/>
      <c r="AG115" s="636"/>
      <c r="AI115" s="185"/>
    </row>
    <row r="116" spans="1:67" ht="24.95" customHeight="1">
      <c r="A116" s="1697"/>
      <c r="B116" s="1697"/>
      <c r="C116" s="1697"/>
      <c r="D116" s="1697"/>
      <c r="E116" s="1697"/>
      <c r="F116" s="1447" t="s">
        <v>829</v>
      </c>
      <c r="G116" s="1447"/>
      <c r="H116" s="1447"/>
      <c r="I116" s="1447"/>
      <c r="J116" s="1447"/>
      <c r="K116" s="1447"/>
      <c r="L116" s="1447"/>
      <c r="M116" s="1447"/>
      <c r="N116" s="1447"/>
      <c r="O116" s="1447"/>
      <c r="P116" s="1447"/>
      <c r="Q116" s="1447"/>
      <c r="R116" s="1447"/>
      <c r="S116" s="1447"/>
      <c r="T116" s="1447"/>
      <c r="U116" s="1447"/>
      <c r="V116" s="1447"/>
      <c r="W116" s="1447"/>
      <c r="X116" s="1447"/>
      <c r="Y116" s="1447"/>
      <c r="Z116" s="1447"/>
      <c r="AA116" s="1447"/>
      <c r="AB116" s="1447"/>
      <c r="AC116" s="1447"/>
      <c r="AD116" s="1447"/>
      <c r="AE116" s="601"/>
      <c r="AF116" s="601"/>
      <c r="AG116" s="601"/>
    </row>
    <row r="117" spans="1:67" ht="15" customHeight="1">
      <c r="A117" s="1656"/>
      <c r="B117" s="1656"/>
      <c r="C117" s="1656"/>
      <c r="D117" s="1656"/>
      <c r="E117" s="1656"/>
      <c r="F117" s="1470" t="s">
        <v>1117</v>
      </c>
      <c r="G117" s="1470"/>
      <c r="H117" s="1470"/>
      <c r="I117" s="1470"/>
      <c r="J117" s="1470"/>
      <c r="K117" s="1470"/>
      <c r="L117" s="1470"/>
      <c r="M117" s="1470"/>
      <c r="N117" s="1470"/>
      <c r="O117" s="1470"/>
      <c r="P117" s="1470"/>
      <c r="Q117" s="1470"/>
      <c r="R117" s="1470"/>
      <c r="S117" s="1470"/>
      <c r="T117" s="1470"/>
      <c r="U117" s="1470"/>
      <c r="V117" s="1470"/>
      <c r="W117" s="1470"/>
      <c r="X117" s="1470"/>
      <c r="Y117" s="1470"/>
      <c r="Z117" s="1470"/>
      <c r="AA117" s="1470"/>
      <c r="AB117" s="1470"/>
      <c r="AC117" s="1470"/>
      <c r="AD117" s="1470"/>
      <c r="AE117" s="601"/>
      <c r="AF117" s="601"/>
      <c r="AG117" s="601"/>
    </row>
    <row r="118" spans="1:67" ht="15" customHeight="1" thickBot="1">
      <c r="A118" s="601"/>
      <c r="B118" s="601"/>
      <c r="C118" s="601"/>
      <c r="D118" s="601"/>
      <c r="E118" s="601"/>
      <c r="F118" s="601"/>
      <c r="G118" s="601"/>
      <c r="H118" s="601"/>
      <c r="I118" s="601"/>
      <c r="J118" s="601"/>
      <c r="K118" s="601"/>
      <c r="L118" s="601"/>
      <c r="M118" s="601"/>
      <c r="N118" s="601"/>
      <c r="O118" s="601"/>
      <c r="P118" s="601"/>
      <c r="Q118" s="601"/>
      <c r="R118" s="601"/>
      <c r="S118" s="601"/>
      <c r="T118" s="601"/>
      <c r="U118" s="601"/>
      <c r="V118" s="601"/>
      <c r="W118" s="601"/>
      <c r="X118" s="601"/>
      <c r="Y118" s="601"/>
      <c r="Z118" s="601"/>
      <c r="AA118" s="601"/>
      <c r="AB118" s="601"/>
      <c r="AC118" s="601"/>
      <c r="AD118" s="601"/>
      <c r="AE118" s="601"/>
      <c r="AF118" s="601"/>
      <c r="AG118" s="601"/>
    </row>
    <row r="119" spans="1:67" ht="15" customHeight="1" thickBot="1">
      <c r="A119" s="1562" t="s">
        <v>565</v>
      </c>
      <c r="B119" s="1562"/>
      <c r="C119" s="1562"/>
      <c r="D119" s="1562"/>
      <c r="E119" s="1562"/>
      <c r="F119" s="1562"/>
      <c r="G119" s="1562"/>
      <c r="H119" s="1562"/>
      <c r="I119" s="1562"/>
      <c r="J119" s="1483" t="str">
        <f>IF(AND(AI120,AI122,AI123,AI124),"○","×")</f>
        <v>×</v>
      </c>
      <c r="K119" s="1484"/>
      <c r="L119" s="1484"/>
      <c r="M119" s="1484"/>
      <c r="N119" s="1485"/>
      <c r="O119" s="1471" t="s">
        <v>209</v>
      </c>
      <c r="P119" s="1393"/>
      <c r="Q119" s="1393"/>
      <c r="R119" s="601"/>
      <c r="S119" s="601"/>
      <c r="T119" s="601"/>
      <c r="U119" s="601"/>
      <c r="V119" s="636"/>
      <c r="W119" s="636"/>
      <c r="X119" s="636"/>
      <c r="Y119" s="636"/>
      <c r="Z119" s="636"/>
      <c r="AA119" s="636"/>
      <c r="AB119" s="636"/>
      <c r="AC119" s="636"/>
      <c r="AD119" s="636"/>
      <c r="AE119" s="601"/>
      <c r="AF119" s="601"/>
      <c r="AG119" s="601"/>
    </row>
    <row r="120" spans="1:67" ht="15" customHeight="1">
      <c r="A120" s="1399" t="s">
        <v>115</v>
      </c>
      <c r="B120" s="1399"/>
      <c r="C120" s="1399"/>
      <c r="D120" s="1399"/>
      <c r="E120" s="1399"/>
      <c r="F120" s="1603"/>
      <c r="G120" s="1603"/>
      <c r="H120" s="1603"/>
      <c r="I120" s="1603"/>
      <c r="J120" s="1604"/>
      <c r="K120" s="1604"/>
      <c r="L120" s="601"/>
      <c r="M120" s="601"/>
      <c r="N120" s="601"/>
      <c r="O120" s="601"/>
      <c r="P120" s="601"/>
      <c r="Q120" s="601"/>
      <c r="R120" s="601"/>
      <c r="S120" s="601"/>
      <c r="T120" s="601"/>
      <c r="U120" s="601"/>
      <c r="V120" s="920"/>
      <c r="W120" s="920"/>
      <c r="X120" s="920"/>
      <c r="Y120" s="920"/>
      <c r="Z120" s="920"/>
      <c r="AA120" s="920"/>
      <c r="AB120" s="920"/>
      <c r="AC120" s="920"/>
      <c r="AD120" s="920"/>
      <c r="AE120" s="601"/>
      <c r="AF120" s="601"/>
      <c r="AG120" s="601"/>
      <c r="AI120" s="914" t="b">
        <f>F120="申請する"</f>
        <v>0</v>
      </c>
    </row>
    <row r="121" spans="1:67" ht="15" customHeight="1">
      <c r="A121" s="1448" t="s">
        <v>617</v>
      </c>
      <c r="B121" s="1449"/>
      <c r="C121" s="1449"/>
      <c r="D121" s="1449"/>
      <c r="E121" s="1449"/>
      <c r="F121" s="1455" t="s">
        <v>99</v>
      </c>
      <c r="G121" s="1455"/>
      <c r="H121" s="1455"/>
      <c r="I121" s="1455"/>
      <c r="J121" s="1455"/>
      <c r="K121" s="1455"/>
      <c r="L121" s="1455"/>
      <c r="M121" s="1455"/>
      <c r="N121" s="1455"/>
      <c r="O121" s="1455"/>
      <c r="P121" s="1455"/>
      <c r="Q121" s="1455"/>
      <c r="R121" s="1455"/>
      <c r="S121" s="1455"/>
      <c r="T121" s="1455"/>
      <c r="U121" s="1455"/>
      <c r="V121" s="1455"/>
      <c r="W121" s="1455"/>
      <c r="X121" s="1455"/>
      <c r="Y121" s="1455"/>
      <c r="Z121" s="1398"/>
      <c r="AA121" s="1457" t="s">
        <v>210</v>
      </c>
      <c r="AB121" s="1455"/>
      <c r="AC121" s="1455"/>
      <c r="AD121" s="1398"/>
      <c r="AE121" s="601"/>
      <c r="AF121" s="601"/>
      <c r="AG121" s="601"/>
    </row>
    <row r="122" spans="1:67" ht="39.950000000000003" customHeight="1">
      <c r="A122" s="1450"/>
      <c r="B122" s="1451"/>
      <c r="C122" s="1451"/>
      <c r="D122" s="1451"/>
      <c r="E122" s="1451"/>
      <c r="F122" s="939">
        <v>1</v>
      </c>
      <c r="G122" s="1475" t="s">
        <v>630</v>
      </c>
      <c r="H122" s="1475"/>
      <c r="I122" s="1475"/>
      <c r="J122" s="1475"/>
      <c r="K122" s="1475"/>
      <c r="L122" s="1475"/>
      <c r="M122" s="1475"/>
      <c r="N122" s="1475"/>
      <c r="O122" s="1475"/>
      <c r="P122" s="1475"/>
      <c r="Q122" s="1475"/>
      <c r="R122" s="1475"/>
      <c r="S122" s="1475"/>
      <c r="T122" s="1475"/>
      <c r="U122" s="1475"/>
      <c r="V122" s="1475"/>
      <c r="W122" s="1475"/>
      <c r="X122" s="1475"/>
      <c r="Y122" s="1475"/>
      <c r="Z122" s="1476"/>
      <c r="AA122" s="1506"/>
      <c r="AB122" s="1507"/>
      <c r="AC122" s="1507"/>
      <c r="AD122" s="1508"/>
      <c r="AE122" s="636"/>
      <c r="AF122" s="636"/>
      <c r="AG122" s="636"/>
      <c r="AI122" s="914" t="b">
        <f>AA122="○"</f>
        <v>0</v>
      </c>
    </row>
    <row r="123" spans="1:67" ht="15" customHeight="1">
      <c r="A123" s="1450"/>
      <c r="B123" s="1451"/>
      <c r="C123" s="1451"/>
      <c r="D123" s="1451"/>
      <c r="E123" s="1451"/>
      <c r="F123" s="939">
        <v>2</v>
      </c>
      <c r="G123" s="1475" t="s">
        <v>1126</v>
      </c>
      <c r="H123" s="1461"/>
      <c r="I123" s="1461"/>
      <c r="J123" s="1461"/>
      <c r="K123" s="1461"/>
      <c r="L123" s="1461"/>
      <c r="M123" s="1461"/>
      <c r="N123" s="1461"/>
      <c r="O123" s="1461"/>
      <c r="P123" s="1461"/>
      <c r="Q123" s="1461"/>
      <c r="R123" s="1461"/>
      <c r="S123" s="1461"/>
      <c r="T123" s="1461"/>
      <c r="U123" s="1461"/>
      <c r="V123" s="1461"/>
      <c r="W123" s="1461"/>
      <c r="X123" s="1461"/>
      <c r="Y123" s="1461"/>
      <c r="Z123" s="1462"/>
      <c r="AA123" s="1506"/>
      <c r="AB123" s="1507"/>
      <c r="AC123" s="1507"/>
      <c r="AD123" s="1508"/>
      <c r="AE123" s="636"/>
      <c r="AF123" s="636"/>
      <c r="AG123" s="636"/>
      <c r="AI123" s="914" t="b">
        <f>AA123="○"</f>
        <v>0</v>
      </c>
    </row>
    <row r="124" spans="1:67" ht="24.95" customHeight="1">
      <c r="A124" s="1452"/>
      <c r="B124" s="1453"/>
      <c r="C124" s="1453"/>
      <c r="D124" s="1453"/>
      <c r="E124" s="1453"/>
      <c r="F124" s="907">
        <v>3</v>
      </c>
      <c r="G124" s="1475" t="s">
        <v>637</v>
      </c>
      <c r="H124" s="1475"/>
      <c r="I124" s="1475"/>
      <c r="J124" s="1475"/>
      <c r="K124" s="1475"/>
      <c r="L124" s="1475"/>
      <c r="M124" s="1475"/>
      <c r="N124" s="1475"/>
      <c r="O124" s="1475"/>
      <c r="P124" s="1475"/>
      <c r="Q124" s="1475"/>
      <c r="R124" s="1475"/>
      <c r="S124" s="1475"/>
      <c r="T124" s="1475"/>
      <c r="U124" s="1475"/>
      <c r="V124" s="1475"/>
      <c r="W124" s="1475"/>
      <c r="X124" s="1475"/>
      <c r="Y124" s="1475"/>
      <c r="Z124" s="1476"/>
      <c r="AA124" s="1506"/>
      <c r="AB124" s="1507"/>
      <c r="AC124" s="1507"/>
      <c r="AD124" s="1508"/>
      <c r="AE124" s="636"/>
      <c r="AF124" s="636"/>
      <c r="AG124" s="636"/>
      <c r="AI124" s="914" t="b">
        <f>AA124="○"</f>
        <v>0</v>
      </c>
    </row>
    <row r="125" spans="1:67" ht="24.95" customHeight="1">
      <c r="A125" s="1399" t="s">
        <v>48</v>
      </c>
      <c r="B125" s="1399"/>
      <c r="C125" s="1399"/>
      <c r="D125" s="1399"/>
      <c r="E125" s="1399"/>
      <c r="F125" s="1580" t="s">
        <v>830</v>
      </c>
      <c r="G125" s="1475"/>
      <c r="H125" s="1475"/>
      <c r="I125" s="1475"/>
      <c r="J125" s="1475"/>
      <c r="K125" s="1475"/>
      <c r="L125" s="1475"/>
      <c r="M125" s="1475"/>
      <c r="N125" s="1475"/>
      <c r="O125" s="1475"/>
      <c r="P125" s="1475"/>
      <c r="Q125" s="1475"/>
      <c r="R125" s="1475"/>
      <c r="S125" s="1475"/>
      <c r="T125" s="1475"/>
      <c r="U125" s="1475"/>
      <c r="V125" s="1475"/>
      <c r="W125" s="1475"/>
      <c r="X125" s="1475"/>
      <c r="Y125" s="1475"/>
      <c r="Z125" s="1475"/>
      <c r="AA125" s="1475"/>
      <c r="AB125" s="1475"/>
      <c r="AC125" s="1475"/>
      <c r="AD125" s="1476"/>
      <c r="AE125" s="601"/>
      <c r="AF125" s="601"/>
      <c r="AG125" s="601"/>
    </row>
    <row r="126" spans="1:67" ht="15" customHeight="1" thickBot="1">
      <c r="A126" s="601"/>
      <c r="B126" s="601"/>
      <c r="C126" s="601"/>
      <c r="D126" s="601"/>
      <c r="E126" s="601"/>
      <c r="F126" s="601"/>
      <c r="G126" s="601"/>
      <c r="H126" s="601"/>
      <c r="I126" s="601"/>
      <c r="J126" s="601"/>
      <c r="K126" s="601"/>
      <c r="L126" s="601"/>
      <c r="M126" s="601"/>
      <c r="N126" s="601"/>
      <c r="O126" s="601"/>
      <c r="P126" s="601"/>
      <c r="Q126" s="601"/>
      <c r="R126" s="601"/>
      <c r="S126" s="601"/>
      <c r="T126" s="601"/>
      <c r="U126" s="601"/>
      <c r="V126" s="601"/>
      <c r="W126" s="601"/>
      <c r="X126" s="601"/>
      <c r="Y126" s="601"/>
      <c r="Z126" s="601"/>
      <c r="AA126" s="601"/>
      <c r="AB126" s="601"/>
      <c r="AC126" s="601"/>
      <c r="AD126" s="601"/>
      <c r="AE126" s="601"/>
      <c r="AF126" s="601"/>
      <c r="AG126" s="601"/>
      <c r="AN126" s="91"/>
      <c r="AO126" s="91"/>
      <c r="AP126" s="91"/>
      <c r="AQ126" s="91"/>
      <c r="AR126" s="91"/>
      <c r="AS126" s="91"/>
      <c r="AT126" s="91"/>
      <c r="AU126" s="91"/>
      <c r="AV126" s="91"/>
      <c r="AW126" s="91"/>
      <c r="AX126" s="91"/>
      <c r="AY126" s="91"/>
      <c r="AZ126" s="91"/>
      <c r="BA126" s="91"/>
      <c r="BB126" s="91"/>
      <c r="BC126" s="91"/>
      <c r="BD126" s="91"/>
      <c r="BE126" s="91"/>
      <c r="BF126" s="91"/>
      <c r="BG126" s="91"/>
      <c r="BH126" s="91"/>
      <c r="BI126" s="91"/>
      <c r="BJ126" s="91"/>
      <c r="BK126" s="91"/>
      <c r="BL126" s="91"/>
      <c r="BM126" s="91"/>
      <c r="BN126" s="91"/>
      <c r="BO126" s="91"/>
    </row>
    <row r="127" spans="1:67" s="91" customFormat="1" ht="15" customHeight="1" thickBot="1">
      <c r="A127" s="1575" t="s">
        <v>566</v>
      </c>
      <c r="B127" s="1575"/>
      <c r="C127" s="1575"/>
      <c r="D127" s="1575"/>
      <c r="E127" s="1575"/>
      <c r="F127" s="1575"/>
      <c r="G127" s="1575"/>
      <c r="H127" s="1575"/>
      <c r="I127" s="1575"/>
      <c r="J127" s="1483" t="str">
        <f>IF(AND(AI128,AI130,AI131,AI132,AI133),AI141,"×")</f>
        <v>×</v>
      </c>
      <c r="K127" s="1484"/>
      <c r="L127" s="1484"/>
      <c r="M127" s="1484"/>
      <c r="N127" s="1485"/>
      <c r="O127" s="1471" t="s">
        <v>209</v>
      </c>
      <c r="P127" s="1393"/>
      <c r="Q127" s="1393"/>
      <c r="R127" s="636"/>
      <c r="S127" s="636"/>
      <c r="T127" s="636"/>
      <c r="U127" s="636"/>
      <c r="V127" s="636"/>
      <c r="W127" s="636"/>
      <c r="X127" s="636"/>
      <c r="Y127" s="636"/>
      <c r="Z127" s="636"/>
      <c r="AA127" s="636"/>
      <c r="AB127" s="636"/>
      <c r="AC127" s="636"/>
      <c r="AD127" s="636"/>
      <c r="AE127" s="636"/>
      <c r="AF127" s="636"/>
      <c r="AG127" s="636"/>
      <c r="AH127" s="104"/>
    </row>
    <row r="128" spans="1:67" s="91" customFormat="1" ht="15" customHeight="1">
      <c r="A128" s="1399" t="s">
        <v>115</v>
      </c>
      <c r="B128" s="1399"/>
      <c r="C128" s="1399"/>
      <c r="D128" s="1399"/>
      <c r="E128" s="1399"/>
      <c r="F128" s="1542"/>
      <c r="G128" s="1542"/>
      <c r="H128" s="1542"/>
      <c r="I128" s="1542"/>
      <c r="J128" s="1543"/>
      <c r="K128" s="1543"/>
      <c r="L128" s="601"/>
      <c r="M128" s="601"/>
      <c r="N128" s="601"/>
      <c r="O128" s="601"/>
      <c r="P128" s="601"/>
      <c r="Q128" s="601"/>
      <c r="R128" s="601"/>
      <c r="S128" s="601"/>
      <c r="T128" s="601"/>
      <c r="U128" s="601"/>
      <c r="V128" s="920"/>
      <c r="W128" s="920"/>
      <c r="X128" s="920"/>
      <c r="Y128" s="920"/>
      <c r="Z128" s="920"/>
      <c r="AA128" s="920"/>
      <c r="AB128" s="920"/>
      <c r="AC128" s="920"/>
      <c r="AD128" s="920"/>
      <c r="AE128" s="636"/>
      <c r="AF128" s="601"/>
      <c r="AG128" s="601"/>
      <c r="AH128" s="95"/>
      <c r="AI128" s="914" t="b">
        <f>F128="申請する"</f>
        <v>0</v>
      </c>
    </row>
    <row r="129" spans="1:67" s="91" customFormat="1" ht="15" customHeight="1">
      <c r="A129" s="1448" t="s">
        <v>471</v>
      </c>
      <c r="B129" s="1390"/>
      <c r="C129" s="1390"/>
      <c r="D129" s="1390"/>
      <c r="E129" s="1391"/>
      <c r="F129" s="1399" t="s">
        <v>99</v>
      </c>
      <c r="G129" s="1399"/>
      <c r="H129" s="1399"/>
      <c r="I129" s="1399"/>
      <c r="J129" s="1399"/>
      <c r="K129" s="1399"/>
      <c r="L129" s="1399"/>
      <c r="M129" s="1399"/>
      <c r="N129" s="1399"/>
      <c r="O129" s="1399"/>
      <c r="P129" s="1399"/>
      <c r="Q129" s="1399"/>
      <c r="R129" s="1399"/>
      <c r="S129" s="1399"/>
      <c r="T129" s="1399"/>
      <c r="U129" s="1399"/>
      <c r="V129" s="1399"/>
      <c r="W129" s="1399"/>
      <c r="X129" s="1399"/>
      <c r="Y129" s="1399"/>
      <c r="Z129" s="1399"/>
      <c r="AA129" s="1399" t="s">
        <v>210</v>
      </c>
      <c r="AB129" s="1399"/>
      <c r="AC129" s="1399"/>
      <c r="AD129" s="1399"/>
      <c r="AE129" s="636"/>
      <c r="AF129" s="636"/>
      <c r="AG129" s="636"/>
      <c r="AH129" s="104"/>
    </row>
    <row r="130" spans="1:67" s="91" customFormat="1" ht="15" customHeight="1">
      <c r="A130" s="1392"/>
      <c r="B130" s="1393"/>
      <c r="C130" s="1393"/>
      <c r="D130" s="1393"/>
      <c r="E130" s="1394"/>
      <c r="F130" s="907">
        <v>1</v>
      </c>
      <c r="G130" s="1486" t="s">
        <v>693</v>
      </c>
      <c r="H130" s="1486"/>
      <c r="I130" s="1486"/>
      <c r="J130" s="1486"/>
      <c r="K130" s="1486"/>
      <c r="L130" s="1486"/>
      <c r="M130" s="1486"/>
      <c r="N130" s="1486"/>
      <c r="O130" s="1486"/>
      <c r="P130" s="1486"/>
      <c r="Q130" s="1486"/>
      <c r="R130" s="1486"/>
      <c r="S130" s="1486"/>
      <c r="T130" s="1486"/>
      <c r="U130" s="1486"/>
      <c r="V130" s="1486"/>
      <c r="W130" s="1486"/>
      <c r="X130" s="1486"/>
      <c r="Y130" s="1486"/>
      <c r="Z130" s="1519"/>
      <c r="AA130" s="1421" t="str">
        <f>【様式５】職員数算出表!O53</f>
        <v>-</v>
      </c>
      <c r="AB130" s="1422"/>
      <c r="AC130" s="1422"/>
      <c r="AD130" s="1463"/>
      <c r="AE130" s="636"/>
      <c r="AF130" s="636"/>
      <c r="AG130" s="636"/>
      <c r="AH130" s="104"/>
      <c r="AI130" s="914" t="b">
        <f>AA130="○"</f>
        <v>0</v>
      </c>
    </row>
    <row r="131" spans="1:67" s="91" customFormat="1" ht="56.25" customHeight="1">
      <c r="A131" s="1392"/>
      <c r="B131" s="1393"/>
      <c r="C131" s="1393"/>
      <c r="D131" s="1393"/>
      <c r="E131" s="1394"/>
      <c r="F131" s="909">
        <v>2</v>
      </c>
      <c r="G131" s="1475" t="s">
        <v>663</v>
      </c>
      <c r="H131" s="1475"/>
      <c r="I131" s="1475"/>
      <c r="J131" s="1475"/>
      <c r="K131" s="1475"/>
      <c r="L131" s="1475"/>
      <c r="M131" s="1475"/>
      <c r="N131" s="1475"/>
      <c r="O131" s="1475"/>
      <c r="P131" s="1475"/>
      <c r="Q131" s="1475"/>
      <c r="R131" s="1475"/>
      <c r="S131" s="1475"/>
      <c r="T131" s="1475"/>
      <c r="U131" s="1475"/>
      <c r="V131" s="1475"/>
      <c r="W131" s="1475"/>
      <c r="X131" s="1475"/>
      <c r="Y131" s="1475"/>
      <c r="Z131" s="1476"/>
      <c r="AA131" s="1495"/>
      <c r="AB131" s="1496"/>
      <c r="AC131" s="1496"/>
      <c r="AD131" s="1497"/>
      <c r="AE131" s="636"/>
      <c r="AF131" s="636"/>
      <c r="AG131" s="636"/>
      <c r="AH131" s="104"/>
      <c r="AI131" s="914" t="b">
        <f>AA131="○"</f>
        <v>0</v>
      </c>
    </row>
    <row r="132" spans="1:67" s="91" customFormat="1" ht="24.95" customHeight="1">
      <c r="A132" s="1392"/>
      <c r="B132" s="1393"/>
      <c r="C132" s="1393"/>
      <c r="D132" s="1393"/>
      <c r="E132" s="1394"/>
      <c r="F132" s="909">
        <v>3</v>
      </c>
      <c r="G132" s="1475" t="s">
        <v>632</v>
      </c>
      <c r="H132" s="1475"/>
      <c r="I132" s="1475"/>
      <c r="J132" s="1475"/>
      <c r="K132" s="1475"/>
      <c r="L132" s="1475"/>
      <c r="M132" s="1475"/>
      <c r="N132" s="1475"/>
      <c r="O132" s="1475"/>
      <c r="P132" s="1475"/>
      <c r="Q132" s="1475"/>
      <c r="R132" s="1475"/>
      <c r="S132" s="1475"/>
      <c r="T132" s="1475"/>
      <c r="U132" s="1475"/>
      <c r="V132" s="1475"/>
      <c r="W132" s="1475"/>
      <c r="X132" s="1475"/>
      <c r="Y132" s="1475"/>
      <c r="Z132" s="1475"/>
      <c r="AA132" s="1495"/>
      <c r="AB132" s="1496"/>
      <c r="AC132" s="1496"/>
      <c r="AD132" s="1497"/>
      <c r="AE132" s="636"/>
      <c r="AF132" s="636"/>
      <c r="AG132" s="636"/>
      <c r="AH132" s="104"/>
      <c r="AI132" s="914" t="b">
        <f>AA132="○"</f>
        <v>0</v>
      </c>
    </row>
    <row r="133" spans="1:67" s="91" customFormat="1" ht="15" customHeight="1">
      <c r="A133" s="1392"/>
      <c r="B133" s="1393"/>
      <c r="C133" s="1393"/>
      <c r="D133" s="1393"/>
      <c r="E133" s="1394"/>
      <c r="F133" s="1392">
        <v>4</v>
      </c>
      <c r="G133" s="1346" t="s">
        <v>424</v>
      </c>
      <c r="H133" s="1346"/>
      <c r="I133" s="1346"/>
      <c r="J133" s="1346"/>
      <c r="K133" s="1346"/>
      <c r="L133" s="1346"/>
      <c r="M133" s="1346"/>
      <c r="N133" s="1346"/>
      <c r="O133" s="1346"/>
      <c r="P133" s="1346"/>
      <c r="Q133" s="1346"/>
      <c r="R133" s="1346"/>
      <c r="S133" s="1346"/>
      <c r="T133" s="1346"/>
      <c r="U133" s="1346"/>
      <c r="V133" s="1346"/>
      <c r="W133" s="1346"/>
      <c r="X133" s="1346"/>
      <c r="Y133" s="1346"/>
      <c r="Z133" s="1404"/>
      <c r="AA133" s="1393" t="str">
        <f>IF(AA136="○","○","×")</f>
        <v>×</v>
      </c>
      <c r="AB133" s="1393"/>
      <c r="AC133" s="1393"/>
      <c r="AD133" s="1394"/>
      <c r="AE133" s="636"/>
      <c r="AF133" s="636"/>
      <c r="AG133" s="636"/>
      <c r="AH133" s="104"/>
      <c r="AI133" s="914" t="b">
        <f>AA133="○"</f>
        <v>0</v>
      </c>
    </row>
    <row r="134" spans="1:67" s="91" customFormat="1" ht="15" customHeight="1">
      <c r="A134" s="1392"/>
      <c r="B134" s="1393"/>
      <c r="C134" s="1393"/>
      <c r="D134" s="1393"/>
      <c r="E134" s="1394"/>
      <c r="F134" s="1392"/>
      <c r="G134" s="1451" t="s">
        <v>1075</v>
      </c>
      <c r="H134" s="1451"/>
      <c r="I134" s="1451"/>
      <c r="J134" s="1451"/>
      <c r="K134" s="1451" t="s">
        <v>429</v>
      </c>
      <c r="L134" s="1451"/>
      <c r="M134" s="1451"/>
      <c r="N134" s="1451"/>
      <c r="O134" s="714"/>
      <c r="P134" s="1451" t="s">
        <v>430</v>
      </c>
      <c r="Q134" s="1451"/>
      <c r="R134" s="1451"/>
      <c r="S134" s="1451"/>
      <c r="T134" s="1451"/>
      <c r="U134" s="714"/>
      <c r="V134" s="1451" t="s">
        <v>440</v>
      </c>
      <c r="W134" s="1451"/>
      <c r="X134" s="1451"/>
      <c r="Y134" s="1451"/>
      <c r="Z134" s="1518"/>
      <c r="AA134" s="1393"/>
      <c r="AB134" s="1393"/>
      <c r="AC134" s="1393"/>
      <c r="AD134" s="1394"/>
      <c r="AE134" s="636"/>
      <c r="AF134" s="636"/>
      <c r="AG134" s="636"/>
      <c r="AH134" s="104"/>
    </row>
    <row r="135" spans="1:67" s="91" customFormat="1" ht="15" customHeight="1">
      <c r="A135" s="1392"/>
      <c r="B135" s="1393"/>
      <c r="C135" s="1393"/>
      <c r="D135" s="1393"/>
      <c r="E135" s="1394"/>
      <c r="F135" s="1392"/>
      <c r="G135" s="1451"/>
      <c r="H135" s="1451"/>
      <c r="I135" s="1451"/>
      <c r="J135" s="1451"/>
      <c r="K135" s="1451">
        <f>【様式５】職員数算出表!N20</f>
        <v>0</v>
      </c>
      <c r="L135" s="1451"/>
      <c r="M135" s="1451"/>
      <c r="N135" s="905" t="s">
        <v>427</v>
      </c>
      <c r="O135" s="905" t="s">
        <v>428</v>
      </c>
      <c r="P135" s="1535">
        <f>IF(ISERROR(VLOOKUP(SUM(R14:S15),'チーム保育単価(要更新)'!$B$7:$M$74,12,TRUE)),0,VLOOKUP(SUM(R14:S15),'チーム保育単価(要更新)'!$B$7:$M$74,12,TRUE))</f>
        <v>0</v>
      </c>
      <c r="Q135" s="1535"/>
      <c r="R135" s="1535"/>
      <c r="S135" s="1451" t="s">
        <v>436</v>
      </c>
      <c r="T135" s="1451"/>
      <c r="U135" s="905" t="s">
        <v>431</v>
      </c>
      <c r="V135" s="1535">
        <f>K135*P135</f>
        <v>0</v>
      </c>
      <c r="W135" s="1535"/>
      <c r="X135" s="1535"/>
      <c r="Y135" s="1451" t="s">
        <v>435</v>
      </c>
      <c r="Z135" s="1518"/>
      <c r="AA135" s="1393"/>
      <c r="AB135" s="1393"/>
      <c r="AC135" s="1393"/>
      <c r="AD135" s="1394"/>
      <c r="AE135" s="636"/>
      <c r="AF135" s="636"/>
      <c r="AG135" s="636"/>
      <c r="AH135" s="104"/>
    </row>
    <row r="136" spans="1:67" s="91" customFormat="1" ht="24.95" customHeight="1">
      <c r="A136" s="1392"/>
      <c r="B136" s="1393"/>
      <c r="C136" s="1393"/>
      <c r="D136" s="1393"/>
      <c r="E136" s="1394"/>
      <c r="F136" s="1589" t="s">
        <v>425</v>
      </c>
      <c r="G136" s="1590"/>
      <c r="H136" s="1702" t="str">
        <f>"保育士の増員に充てている("&amp;M137&amp;"人以上の増員が必要です。また、増員した職員は様式５で確認します。)"</f>
        <v>保育士の増員に充てている(1人以上の増員が必要です。また、増員した職員は様式５で確認します。)</v>
      </c>
      <c r="I136" s="1702"/>
      <c r="J136" s="1702"/>
      <c r="K136" s="1702"/>
      <c r="L136" s="1702"/>
      <c r="M136" s="1702"/>
      <c r="N136" s="1702"/>
      <c r="O136" s="1702"/>
      <c r="P136" s="1702"/>
      <c r="Q136" s="1702"/>
      <c r="R136" s="1702"/>
      <c r="S136" s="1702"/>
      <c r="T136" s="1702"/>
      <c r="U136" s="1702"/>
      <c r="V136" s="1702"/>
      <c r="W136" s="1702"/>
      <c r="X136" s="1702"/>
      <c r="Y136" s="1702"/>
      <c r="Z136" s="1703"/>
      <c r="AA136" s="1540" t="str">
        <f>IF($W$137&gt;=1,"○","×")</f>
        <v>×</v>
      </c>
      <c r="AB136" s="1540"/>
      <c r="AC136" s="1540"/>
      <c r="AD136" s="1541"/>
      <c r="AE136" s="636"/>
      <c r="AF136" s="636"/>
      <c r="AG136" s="636"/>
    </row>
    <row r="137" spans="1:67" s="91" customFormat="1" ht="15" customHeight="1">
      <c r="A137" s="1392"/>
      <c r="B137" s="1393"/>
      <c r="C137" s="1393"/>
      <c r="D137" s="1393"/>
      <c r="E137" s="1394"/>
      <c r="F137" s="1606"/>
      <c r="G137" s="1607"/>
      <c r="H137" s="1524" t="s">
        <v>1235</v>
      </c>
      <c r="I137" s="1524"/>
      <c r="J137" s="1524"/>
      <c r="K137" s="1524"/>
      <c r="L137" s="1524"/>
      <c r="M137" s="1525">
        <f>IF(SUM(R14:S15)&lt;=120,1,2)</f>
        <v>1</v>
      </c>
      <c r="N137" s="1525"/>
      <c r="O137" s="1525"/>
      <c r="P137" s="1526"/>
      <c r="Q137" s="992"/>
      <c r="R137" s="1524" t="s">
        <v>1234</v>
      </c>
      <c r="S137" s="1524"/>
      <c r="T137" s="1524"/>
      <c r="U137" s="1524"/>
      <c r="V137" s="1524"/>
      <c r="W137" s="1538">
        <f>ROUND(【様式５】職員数算出表!L153,0)</f>
        <v>0</v>
      </c>
      <c r="X137" s="1524"/>
      <c r="Y137" s="1524"/>
      <c r="Z137" s="1539"/>
      <c r="AA137" s="1393"/>
      <c r="AB137" s="1393"/>
      <c r="AC137" s="1393"/>
      <c r="AD137" s="1394"/>
      <c r="AE137" s="636"/>
      <c r="AF137" s="636"/>
      <c r="AG137" s="636"/>
    </row>
    <row r="138" spans="1:67" s="91" customFormat="1" ht="24.95" customHeight="1">
      <c r="A138" s="1392"/>
      <c r="B138" s="1393"/>
      <c r="C138" s="1393"/>
      <c r="D138" s="1393"/>
      <c r="E138" s="1394"/>
      <c r="F138" s="1576" t="s">
        <v>437</v>
      </c>
      <c r="G138" s="1577"/>
      <c r="H138" s="1536" t="s">
        <v>438</v>
      </c>
      <c r="I138" s="1536"/>
      <c r="J138" s="1536"/>
      <c r="K138" s="1536"/>
      <c r="L138" s="1536"/>
      <c r="M138" s="1536"/>
      <c r="N138" s="1536"/>
      <c r="O138" s="1536"/>
      <c r="P138" s="1536"/>
      <c r="Q138" s="1536"/>
      <c r="R138" s="1536"/>
      <c r="S138" s="1536"/>
      <c r="T138" s="1536"/>
      <c r="U138" s="1536"/>
      <c r="V138" s="1536"/>
      <c r="W138" s="1536"/>
      <c r="X138" s="1536"/>
      <c r="Y138" s="1536"/>
      <c r="Z138" s="1537"/>
      <c r="AA138" s="1540" t="str">
        <f>IF(M139&lt;&gt;0,"○","×")</f>
        <v>×</v>
      </c>
      <c r="AB138" s="1540"/>
      <c r="AC138" s="1540"/>
      <c r="AD138" s="1541"/>
      <c r="AE138" s="636"/>
      <c r="AF138" s="636"/>
      <c r="AG138" s="636"/>
      <c r="AH138" s="104"/>
    </row>
    <row r="139" spans="1:67" s="91" customFormat="1" ht="15" customHeight="1">
      <c r="A139" s="1392"/>
      <c r="B139" s="1393"/>
      <c r="C139" s="1393"/>
      <c r="D139" s="1393"/>
      <c r="E139" s="1394"/>
      <c r="F139" s="1576"/>
      <c r="G139" s="1577"/>
      <c r="H139" s="1354" t="s">
        <v>618</v>
      </c>
      <c r="I139" s="1354"/>
      <c r="J139" s="1354"/>
      <c r="K139" s="1354"/>
      <c r="L139" s="1354"/>
      <c r="M139" s="1350"/>
      <c r="N139" s="1350"/>
      <c r="O139" s="1350"/>
      <c r="P139" s="1350"/>
      <c r="Q139" s="1350"/>
      <c r="R139" s="1350"/>
      <c r="S139" s="1350"/>
      <c r="T139" s="1350"/>
      <c r="U139" s="1350"/>
      <c r="V139" s="1350"/>
      <c r="W139" s="1350"/>
      <c r="X139" s="1350"/>
      <c r="Y139" s="1350"/>
      <c r="Z139" s="1351"/>
      <c r="AA139" s="1393"/>
      <c r="AB139" s="1393"/>
      <c r="AC139" s="1393"/>
      <c r="AD139" s="1394"/>
      <c r="AE139" s="636"/>
      <c r="AF139" s="636"/>
      <c r="AG139" s="636"/>
      <c r="AH139" s="104"/>
    </row>
    <row r="140" spans="1:67" s="91" customFormat="1" ht="15" customHeight="1">
      <c r="A140" s="1395"/>
      <c r="B140" s="1396"/>
      <c r="C140" s="1396"/>
      <c r="D140" s="1396"/>
      <c r="E140" s="1397"/>
      <c r="F140" s="1578"/>
      <c r="G140" s="1579"/>
      <c r="H140" s="1355"/>
      <c r="I140" s="1355"/>
      <c r="J140" s="1355"/>
      <c r="K140" s="1355"/>
      <c r="L140" s="1355"/>
      <c r="M140" s="1352"/>
      <c r="N140" s="1352"/>
      <c r="O140" s="1352"/>
      <c r="P140" s="1352"/>
      <c r="Q140" s="1352"/>
      <c r="R140" s="1352"/>
      <c r="S140" s="1352"/>
      <c r="T140" s="1352"/>
      <c r="U140" s="1352"/>
      <c r="V140" s="1352"/>
      <c r="W140" s="1352"/>
      <c r="X140" s="1352"/>
      <c r="Y140" s="1352"/>
      <c r="Z140" s="1353"/>
      <c r="AA140" s="1396"/>
      <c r="AB140" s="1396"/>
      <c r="AC140" s="1396"/>
      <c r="AD140" s="1397"/>
      <c r="AE140" s="636"/>
      <c r="AF140" s="636"/>
      <c r="AG140" s="636"/>
      <c r="AH140" s="104"/>
      <c r="AN140" s="104"/>
      <c r="AO140" s="104"/>
      <c r="AP140" s="104"/>
      <c r="AQ140" s="104"/>
      <c r="AR140" s="104"/>
      <c r="AS140" s="104"/>
      <c r="AT140" s="104"/>
      <c r="AU140" s="104"/>
      <c r="AV140" s="104"/>
      <c r="AW140" s="104"/>
      <c r="AX140" s="104"/>
      <c r="AY140" s="104"/>
      <c r="AZ140" s="104"/>
      <c r="BA140" s="104"/>
      <c r="BB140" s="104"/>
      <c r="BC140" s="104"/>
      <c r="BD140" s="104"/>
      <c r="BE140" s="104"/>
      <c r="BF140" s="104"/>
      <c r="BG140" s="104"/>
      <c r="BH140" s="104"/>
      <c r="BI140" s="104"/>
      <c r="BJ140" s="104"/>
      <c r="BK140" s="104"/>
      <c r="BL140" s="104"/>
      <c r="BM140" s="104"/>
      <c r="BN140" s="104"/>
      <c r="BO140" s="104"/>
    </row>
    <row r="141" spans="1:67" s="91" customFormat="1" ht="18" customHeight="1">
      <c r="A141" s="1531" t="s">
        <v>1257</v>
      </c>
      <c r="B141" s="1532"/>
      <c r="C141" s="1532"/>
      <c r="D141" s="1532"/>
      <c r="E141" s="1533"/>
      <c r="F141" s="1527"/>
      <c r="G141" s="1528"/>
      <c r="H141" s="1528"/>
      <c r="I141" s="1528"/>
      <c r="J141" s="1528"/>
      <c r="K141" s="1528"/>
      <c r="L141" s="1529" t="str">
        <f>IF(AND(F128="申請する",F141=""),"←入力漏れです！（取得上限値は"&amp;IF(OR(【様式５】職員数算出表!J56&lt;0,ISERROR(【様式５】職員数算出表!J56)),0,【様式５】職員数算出表!J56)&amp;"人です）","←　取得上限値は"&amp;IF(OR(【様式５】職員数算出表!J56&lt;0,ISERROR(【様式５】職員数算出表!J56)),0,【様式５】職員数算出表!J56)&amp;"人です")</f>
        <v>←　取得上限値は0人です</v>
      </c>
      <c r="M141" s="1529"/>
      <c r="N141" s="1529"/>
      <c r="O141" s="1529"/>
      <c r="P141" s="1529"/>
      <c r="Q141" s="1529"/>
      <c r="R141" s="1529"/>
      <c r="S141" s="1529"/>
      <c r="T141" s="1529"/>
      <c r="U141" s="1529"/>
      <c r="V141" s="1529"/>
      <c r="W141" s="1529"/>
      <c r="X141" s="1529"/>
      <c r="Y141" s="1529"/>
      <c r="Z141" s="1529"/>
      <c r="AA141" s="1529"/>
      <c r="AB141" s="1529"/>
      <c r="AC141" s="1529"/>
      <c r="AD141" s="1530"/>
      <c r="AE141" s="636"/>
      <c r="AF141" s="636"/>
      <c r="AG141" s="636"/>
      <c r="AH141" s="104"/>
      <c r="AI141" s="99">
        <f>IF(F141&gt;【様式５】職員数算出表!J56,-1,F141)</f>
        <v>0</v>
      </c>
      <c r="AN141" s="104"/>
      <c r="AO141" s="104"/>
      <c r="AP141" s="104"/>
      <c r="AQ141" s="104"/>
      <c r="AR141" s="104"/>
      <c r="AS141" s="104"/>
      <c r="AT141" s="104"/>
      <c r="AU141" s="104"/>
      <c r="AV141" s="104"/>
      <c r="AW141" s="104"/>
      <c r="AX141" s="104"/>
      <c r="AY141" s="104"/>
      <c r="AZ141" s="104"/>
      <c r="BA141" s="104"/>
      <c r="BB141" s="104"/>
      <c r="BC141" s="104"/>
      <c r="BD141" s="104"/>
      <c r="BE141" s="104"/>
      <c r="BF141" s="104"/>
      <c r="BG141" s="104"/>
      <c r="BH141" s="104"/>
      <c r="BI141" s="104"/>
      <c r="BJ141" s="104"/>
      <c r="BK141" s="104"/>
      <c r="BL141" s="104"/>
      <c r="BM141" s="104"/>
      <c r="BN141" s="104"/>
      <c r="BO141" s="104"/>
    </row>
    <row r="142" spans="1:67" s="104" customFormat="1" ht="15" customHeight="1">
      <c r="A142" s="1500" t="s">
        <v>179</v>
      </c>
      <c r="B142" s="1501"/>
      <c r="C142" s="1501"/>
      <c r="D142" s="1501"/>
      <c r="E142" s="1502"/>
      <c r="F142" s="1430" t="s">
        <v>608</v>
      </c>
      <c r="G142" s="1425"/>
      <c r="H142" s="1425"/>
      <c r="I142" s="1425"/>
      <c r="J142" s="1425"/>
      <c r="K142" s="1425"/>
      <c r="L142" s="1425"/>
      <c r="M142" s="1425"/>
      <c r="N142" s="1425"/>
      <c r="O142" s="1425"/>
      <c r="P142" s="1425"/>
      <c r="Q142" s="1425"/>
      <c r="R142" s="1425"/>
      <c r="S142" s="1425"/>
      <c r="T142" s="1425"/>
      <c r="U142" s="1425"/>
      <c r="V142" s="1425"/>
      <c r="W142" s="1425"/>
      <c r="X142" s="1425"/>
      <c r="Y142" s="1425"/>
      <c r="Z142" s="1425"/>
      <c r="AA142" s="1425"/>
      <c r="AB142" s="1425"/>
      <c r="AC142" s="1425"/>
      <c r="AD142" s="1426"/>
      <c r="AE142" s="657"/>
      <c r="AF142" s="657"/>
      <c r="AG142" s="657"/>
    </row>
    <row r="143" spans="1:67" s="104" customFormat="1" ht="15" customHeight="1">
      <c r="A143" s="1699"/>
      <c r="B143" s="1700"/>
      <c r="C143" s="1700"/>
      <c r="D143" s="1700"/>
      <c r="E143" s="1701"/>
      <c r="F143" s="1521" t="s">
        <v>609</v>
      </c>
      <c r="G143" s="1522"/>
      <c r="H143" s="1522"/>
      <c r="I143" s="1522"/>
      <c r="J143" s="1522"/>
      <c r="K143" s="1522"/>
      <c r="L143" s="1522"/>
      <c r="M143" s="1522"/>
      <c r="N143" s="1522"/>
      <c r="O143" s="1522"/>
      <c r="P143" s="1522"/>
      <c r="Q143" s="1522"/>
      <c r="R143" s="1522"/>
      <c r="S143" s="1522"/>
      <c r="T143" s="1522"/>
      <c r="U143" s="1522"/>
      <c r="V143" s="1522"/>
      <c r="W143" s="1522"/>
      <c r="X143" s="1522"/>
      <c r="Y143" s="1522"/>
      <c r="Z143" s="1522"/>
      <c r="AA143" s="1522"/>
      <c r="AB143" s="1522"/>
      <c r="AC143" s="1522"/>
      <c r="AD143" s="1523"/>
      <c r="AE143" s="657"/>
      <c r="AF143" s="657"/>
      <c r="AG143" s="657"/>
      <c r="AN143" s="95"/>
      <c r="AO143" s="95"/>
      <c r="AP143" s="95"/>
      <c r="AQ143" s="95"/>
      <c r="AR143" s="95"/>
      <c r="AS143" s="95"/>
      <c r="AT143" s="95"/>
      <c r="AU143" s="95"/>
      <c r="AV143" s="95"/>
      <c r="AW143" s="95"/>
      <c r="AX143" s="95"/>
      <c r="AY143" s="95"/>
      <c r="AZ143" s="95"/>
      <c r="BA143" s="95"/>
      <c r="BB143" s="95"/>
      <c r="BC143" s="95"/>
      <c r="BD143" s="95"/>
      <c r="BE143" s="95"/>
      <c r="BF143" s="95"/>
      <c r="BG143" s="95"/>
      <c r="BH143" s="95"/>
      <c r="BI143" s="95"/>
      <c r="BJ143" s="95"/>
      <c r="BK143" s="95"/>
      <c r="BL143" s="95"/>
      <c r="BM143" s="95"/>
      <c r="BN143" s="95"/>
      <c r="BO143" s="95"/>
    </row>
    <row r="144" spans="1:67" ht="24.95" customHeight="1">
      <c r="A144" s="1337" t="s">
        <v>638</v>
      </c>
      <c r="B144" s="1337"/>
      <c r="C144" s="1337"/>
      <c r="D144" s="1337"/>
      <c r="E144" s="1337"/>
      <c r="F144" s="1337"/>
      <c r="G144" s="1337"/>
      <c r="H144" s="1337"/>
      <c r="I144" s="1337"/>
      <c r="J144" s="1337"/>
      <c r="K144" s="1337"/>
      <c r="L144" s="1337"/>
      <c r="M144" s="1337"/>
      <c r="N144" s="1337"/>
      <c r="O144" s="1337"/>
      <c r="P144" s="1337"/>
      <c r="Q144" s="1337"/>
      <c r="R144" s="1337"/>
      <c r="S144" s="1337"/>
      <c r="T144" s="1337"/>
      <c r="U144" s="1337"/>
      <c r="V144" s="1337"/>
      <c r="W144" s="1337"/>
      <c r="X144" s="1337"/>
      <c r="Y144" s="1337"/>
      <c r="Z144" s="1337"/>
      <c r="AA144" s="1337"/>
      <c r="AB144" s="1337"/>
      <c r="AC144" s="1337"/>
      <c r="AD144" s="1337"/>
      <c r="AE144" s="1337"/>
      <c r="AF144" s="1337"/>
      <c r="AG144" s="1337"/>
    </row>
    <row r="145" spans="1:67" ht="15" customHeight="1">
      <c r="A145" s="1337" t="s">
        <v>1115</v>
      </c>
      <c r="B145" s="1337"/>
      <c r="C145" s="1337"/>
      <c r="D145" s="1337"/>
      <c r="E145" s="1337"/>
      <c r="F145" s="1337"/>
      <c r="G145" s="1337"/>
      <c r="H145" s="1337"/>
      <c r="I145" s="1337"/>
      <c r="J145" s="1337"/>
      <c r="K145" s="1337"/>
      <c r="L145" s="1337"/>
      <c r="M145" s="1337"/>
      <c r="N145" s="1337"/>
      <c r="O145" s="1337"/>
      <c r="P145" s="1337"/>
      <c r="Q145" s="1337"/>
      <c r="R145" s="1337"/>
      <c r="S145" s="1337"/>
      <c r="T145" s="1337"/>
      <c r="U145" s="1337"/>
      <c r="V145" s="1337"/>
      <c r="W145" s="1337"/>
      <c r="X145" s="1337"/>
      <c r="Y145" s="1337"/>
      <c r="Z145" s="1337"/>
      <c r="AA145" s="1337"/>
      <c r="AB145" s="1337"/>
      <c r="AC145" s="1337"/>
      <c r="AD145" s="1337"/>
      <c r="AE145" s="1337"/>
      <c r="AF145" s="1337"/>
      <c r="AG145" s="1337"/>
    </row>
    <row r="146" spans="1:67" ht="15" customHeight="1" thickBot="1">
      <c r="A146" s="917"/>
      <c r="B146" s="917"/>
      <c r="C146" s="917"/>
      <c r="D146" s="917"/>
      <c r="E146" s="917"/>
      <c r="F146" s="917"/>
      <c r="G146" s="917"/>
      <c r="H146" s="917"/>
      <c r="I146" s="917"/>
      <c r="J146" s="917"/>
      <c r="K146" s="917"/>
      <c r="L146" s="917"/>
      <c r="M146" s="917"/>
      <c r="N146" s="917"/>
      <c r="O146" s="917"/>
      <c r="P146" s="917"/>
      <c r="Q146" s="917"/>
      <c r="R146" s="917"/>
      <c r="S146" s="917"/>
      <c r="T146" s="917"/>
      <c r="U146" s="917"/>
      <c r="V146" s="917"/>
      <c r="W146" s="917"/>
      <c r="X146" s="917"/>
      <c r="Y146" s="917"/>
      <c r="Z146" s="917"/>
      <c r="AA146" s="917"/>
      <c r="AB146" s="917"/>
      <c r="AC146" s="917"/>
      <c r="AD146" s="917"/>
      <c r="AE146" s="917"/>
      <c r="AF146" s="917"/>
      <c r="AG146" s="917"/>
    </row>
    <row r="147" spans="1:67" ht="15" customHeight="1" thickBot="1">
      <c r="A147" s="1718" t="s">
        <v>567</v>
      </c>
      <c r="B147" s="1718"/>
      <c r="C147" s="1718"/>
      <c r="D147" s="1718"/>
      <c r="E147" s="1718"/>
      <c r="F147" s="1718"/>
      <c r="G147" s="1718"/>
      <c r="H147" s="1718"/>
      <c r="I147" s="1718"/>
      <c r="J147" s="1483" t="s">
        <v>460</v>
      </c>
      <c r="K147" s="1484"/>
      <c r="L147" s="1484"/>
      <c r="M147" s="1484"/>
      <c r="N147" s="1485"/>
      <c r="O147" s="1471" t="s">
        <v>209</v>
      </c>
      <c r="P147" s="1393"/>
      <c r="Q147" s="1393"/>
      <c r="R147" s="917"/>
      <c r="S147" s="917"/>
      <c r="T147" s="917"/>
      <c r="U147" s="917"/>
      <c r="V147" s="636"/>
      <c r="W147" s="636"/>
      <c r="X147" s="636"/>
      <c r="Y147" s="636"/>
      <c r="Z147" s="636"/>
      <c r="AA147" s="636"/>
      <c r="AB147" s="636"/>
      <c r="AC147" s="636"/>
      <c r="AD147" s="636"/>
      <c r="AE147" s="917"/>
      <c r="AF147" s="917"/>
      <c r="AG147" s="917"/>
    </row>
    <row r="148" spans="1:67" ht="15" customHeight="1">
      <c r="A148" s="1337" t="s">
        <v>459</v>
      </c>
      <c r="B148" s="1337"/>
      <c r="C148" s="1337"/>
      <c r="D148" s="1337"/>
      <c r="E148" s="1337"/>
      <c r="F148" s="1337"/>
      <c r="G148" s="1337"/>
      <c r="H148" s="1337"/>
      <c r="I148" s="1337"/>
      <c r="J148" s="1337"/>
      <c r="K148" s="1337"/>
      <c r="L148" s="1337"/>
      <c r="M148" s="1337"/>
      <c r="N148" s="1337"/>
      <c r="O148" s="1337"/>
      <c r="P148" s="1337"/>
      <c r="Q148" s="1337"/>
      <c r="R148" s="1337"/>
      <c r="S148" s="1337"/>
      <c r="T148" s="1337"/>
      <c r="U148" s="1337"/>
      <c r="V148" s="1337"/>
      <c r="W148" s="1337"/>
      <c r="X148" s="1337"/>
      <c r="Y148" s="1337"/>
      <c r="Z148" s="1337"/>
      <c r="AA148" s="1337"/>
      <c r="AB148" s="1337"/>
      <c r="AC148" s="1337"/>
      <c r="AD148" s="1337"/>
      <c r="AE148" s="917"/>
      <c r="AF148" s="917"/>
      <c r="AG148" s="917"/>
    </row>
    <row r="149" spans="1:67" ht="15" customHeight="1" thickBot="1">
      <c r="A149" s="917"/>
      <c r="B149" s="917"/>
      <c r="C149" s="917"/>
      <c r="D149" s="917"/>
      <c r="E149" s="917"/>
      <c r="F149" s="917"/>
      <c r="G149" s="917"/>
      <c r="H149" s="917"/>
      <c r="I149" s="917"/>
      <c r="J149" s="917"/>
      <c r="K149" s="917"/>
      <c r="L149" s="917"/>
      <c r="M149" s="917"/>
      <c r="N149" s="917"/>
      <c r="O149" s="917"/>
      <c r="P149" s="917"/>
      <c r="Q149" s="917"/>
      <c r="R149" s="917"/>
      <c r="S149" s="917"/>
      <c r="T149" s="917"/>
      <c r="U149" s="917"/>
      <c r="V149" s="917"/>
      <c r="W149" s="917"/>
      <c r="X149" s="917"/>
      <c r="Y149" s="917"/>
      <c r="Z149" s="917"/>
      <c r="AA149" s="917"/>
      <c r="AB149" s="917"/>
      <c r="AC149" s="917"/>
      <c r="AD149" s="917"/>
      <c r="AE149" s="917"/>
      <c r="AF149" s="917"/>
      <c r="AG149" s="917"/>
    </row>
    <row r="150" spans="1:67" ht="15" customHeight="1" thickBot="1">
      <c r="A150" s="1534" t="s">
        <v>568</v>
      </c>
      <c r="B150" s="1534"/>
      <c r="C150" s="1534"/>
      <c r="D150" s="1534"/>
      <c r="E150" s="1534"/>
      <c r="F150" s="1534"/>
      <c r="G150" s="1534"/>
      <c r="H150" s="1534"/>
      <c r="I150" s="1534"/>
      <c r="J150" s="1483" t="str">
        <f>IF($R$15&gt;0,"○","×")</f>
        <v>×</v>
      </c>
      <c r="K150" s="1484"/>
      <c r="L150" s="1484"/>
      <c r="M150" s="1484"/>
      <c r="N150" s="1485"/>
      <c r="O150" s="1471" t="s">
        <v>209</v>
      </c>
      <c r="P150" s="1393"/>
      <c r="Q150" s="1393"/>
      <c r="R150" s="601"/>
      <c r="S150" s="601"/>
      <c r="T150" s="601"/>
      <c r="U150" s="601"/>
      <c r="V150" s="636"/>
      <c r="W150" s="636"/>
      <c r="X150" s="636"/>
      <c r="Y150" s="636"/>
      <c r="Z150" s="636"/>
      <c r="AA150" s="636"/>
      <c r="AB150" s="636"/>
      <c r="AC150" s="636"/>
      <c r="AD150" s="636"/>
      <c r="AE150" s="601"/>
      <c r="AF150" s="601"/>
      <c r="AG150" s="601"/>
    </row>
    <row r="151" spans="1:67" ht="24.95" customHeight="1">
      <c r="A151" s="1337" t="s">
        <v>1074</v>
      </c>
      <c r="B151" s="1337"/>
      <c r="C151" s="1337"/>
      <c r="D151" s="1337"/>
      <c r="E151" s="1337"/>
      <c r="F151" s="1337"/>
      <c r="G151" s="1337"/>
      <c r="H151" s="1337"/>
      <c r="I151" s="1337"/>
      <c r="J151" s="1337"/>
      <c r="K151" s="1337"/>
      <c r="L151" s="1337"/>
      <c r="M151" s="1337"/>
      <c r="N151" s="1337"/>
      <c r="O151" s="1337"/>
      <c r="P151" s="1337"/>
      <c r="Q151" s="1337"/>
      <c r="R151" s="1337"/>
      <c r="S151" s="1337"/>
      <c r="T151" s="1337"/>
      <c r="U151" s="1337"/>
      <c r="V151" s="1337"/>
      <c r="W151" s="1337"/>
      <c r="X151" s="1337"/>
      <c r="Y151" s="1337"/>
      <c r="Z151" s="1337"/>
      <c r="AA151" s="1337"/>
      <c r="AB151" s="1337"/>
      <c r="AC151" s="1337"/>
      <c r="AD151" s="1337"/>
      <c r="AE151" s="1337"/>
      <c r="AF151" s="1337"/>
      <c r="AG151" s="1337"/>
    </row>
    <row r="152" spans="1:67" ht="15" customHeight="1" thickBot="1">
      <c r="A152" s="601"/>
      <c r="B152" s="601"/>
      <c r="C152" s="601"/>
      <c r="D152" s="601"/>
      <c r="E152" s="601"/>
      <c r="F152" s="601"/>
      <c r="G152" s="601"/>
      <c r="H152" s="601"/>
      <c r="I152" s="601"/>
      <c r="J152" s="601"/>
      <c r="K152" s="601"/>
      <c r="L152" s="601"/>
      <c r="M152" s="601"/>
      <c r="N152" s="601"/>
      <c r="O152" s="601"/>
      <c r="P152" s="601"/>
      <c r="Q152" s="601"/>
      <c r="R152" s="601"/>
      <c r="S152" s="601"/>
      <c r="T152" s="601"/>
      <c r="U152" s="601"/>
      <c r="V152" s="601"/>
      <c r="W152" s="601"/>
      <c r="X152" s="601"/>
      <c r="Y152" s="601"/>
      <c r="Z152" s="601"/>
      <c r="AA152" s="601"/>
      <c r="AB152" s="601"/>
      <c r="AC152" s="601"/>
      <c r="AD152" s="601"/>
      <c r="AE152" s="601"/>
      <c r="AF152" s="601"/>
      <c r="AG152" s="601"/>
      <c r="AN152" s="91"/>
      <c r="AO152" s="91"/>
      <c r="AP152" s="91"/>
      <c r="AQ152" s="91"/>
      <c r="AR152" s="91"/>
      <c r="AS152" s="91"/>
      <c r="AT152" s="91"/>
      <c r="AU152" s="91"/>
      <c r="AV152" s="91"/>
      <c r="AW152" s="91"/>
      <c r="AX152" s="91"/>
      <c r="AY152" s="91"/>
      <c r="AZ152" s="91"/>
      <c r="BA152" s="91"/>
      <c r="BB152" s="91"/>
      <c r="BC152" s="91"/>
      <c r="BD152" s="91"/>
      <c r="BE152" s="91"/>
      <c r="BF152" s="91"/>
      <c r="BG152" s="91"/>
      <c r="BH152" s="91"/>
      <c r="BI152" s="91"/>
      <c r="BJ152" s="91"/>
      <c r="BK152" s="91"/>
      <c r="BL152" s="91"/>
      <c r="BM152" s="91"/>
      <c r="BN152" s="91"/>
      <c r="BO152" s="91"/>
    </row>
    <row r="153" spans="1:67" s="91" customFormat="1" ht="15" customHeight="1" thickBot="1">
      <c r="A153" s="1376" t="s">
        <v>687</v>
      </c>
      <c r="B153" s="1376"/>
      <c r="C153" s="1376"/>
      <c r="D153" s="1376"/>
      <c r="E153" s="1376"/>
      <c r="F153" s="1376"/>
      <c r="G153" s="1376"/>
      <c r="H153" s="1376"/>
      <c r="I153" s="1517"/>
      <c r="J153" s="1483" t="str">
        <f>IF(AND(AI156,AI161,AI166,AI167),"×","○")</f>
        <v>○</v>
      </c>
      <c r="K153" s="1484"/>
      <c r="L153" s="1484"/>
      <c r="M153" s="1484"/>
      <c r="N153" s="1485"/>
      <c r="O153" s="1471" t="s">
        <v>209</v>
      </c>
      <c r="P153" s="1393"/>
      <c r="Q153" s="1393"/>
      <c r="R153" s="601"/>
      <c r="S153" s="601"/>
      <c r="T153" s="601"/>
      <c r="U153" s="601"/>
      <c r="V153" s="636"/>
      <c r="W153" s="636"/>
      <c r="X153" s="636"/>
      <c r="Y153" s="636"/>
      <c r="Z153" s="636"/>
      <c r="AA153" s="636"/>
      <c r="AB153" s="636"/>
      <c r="AC153" s="636"/>
      <c r="AD153" s="636"/>
      <c r="AE153" s="636"/>
      <c r="AF153" s="601"/>
      <c r="AG153" s="636"/>
      <c r="AH153" s="104"/>
      <c r="AI153" s="95"/>
      <c r="AJ153" s="95"/>
      <c r="AK153" s="95"/>
      <c r="AL153" s="95"/>
      <c r="AM153" s="95"/>
      <c r="AN153" s="95"/>
      <c r="AO153" s="95"/>
      <c r="AP153" s="95"/>
      <c r="AQ153" s="95"/>
      <c r="AR153" s="95"/>
      <c r="AS153" s="95"/>
      <c r="AT153" s="95"/>
      <c r="AU153" s="95"/>
      <c r="AV153" s="95"/>
      <c r="AW153" s="95"/>
      <c r="AX153" s="95"/>
      <c r="AY153" s="95"/>
      <c r="AZ153" s="95"/>
      <c r="BA153" s="95"/>
      <c r="BB153" s="95"/>
      <c r="BC153" s="95"/>
      <c r="BD153" s="95"/>
      <c r="BE153" s="95"/>
      <c r="BF153" s="95"/>
      <c r="BG153" s="95"/>
      <c r="BH153" s="95"/>
      <c r="BI153" s="95"/>
      <c r="BJ153" s="95"/>
      <c r="BK153" s="95"/>
      <c r="BL153" s="95"/>
      <c r="BM153" s="95"/>
      <c r="BN153" s="95"/>
      <c r="BO153" s="95"/>
    </row>
    <row r="154" spans="1:67" ht="24.95" customHeight="1">
      <c r="A154" s="1516" t="s">
        <v>558</v>
      </c>
      <c r="B154" s="1516"/>
      <c r="C154" s="1516"/>
      <c r="D154" s="1516"/>
      <c r="E154" s="1516"/>
      <c r="F154" s="1516"/>
      <c r="G154" s="1516"/>
      <c r="H154" s="1516"/>
      <c r="I154" s="1516"/>
      <c r="J154" s="1516"/>
      <c r="K154" s="1516"/>
      <c r="L154" s="1516"/>
      <c r="M154" s="1516"/>
      <c r="N154" s="1516"/>
      <c r="O154" s="1516"/>
      <c r="P154" s="1516"/>
      <c r="Q154" s="1516"/>
      <c r="R154" s="1516"/>
      <c r="S154" s="1516"/>
      <c r="T154" s="1516"/>
      <c r="U154" s="1516"/>
      <c r="V154" s="1516"/>
      <c r="W154" s="1516"/>
      <c r="X154" s="1516"/>
      <c r="Y154" s="1516"/>
      <c r="Z154" s="1516"/>
      <c r="AA154" s="1516"/>
      <c r="AB154" s="1516"/>
      <c r="AC154" s="1516"/>
      <c r="AD154" s="1516"/>
      <c r="AE154" s="636"/>
      <c r="AF154" s="636"/>
      <c r="AG154" s="636"/>
      <c r="AI154" s="91"/>
      <c r="AJ154" s="91"/>
      <c r="AK154" s="91"/>
      <c r="AL154" s="91"/>
      <c r="AM154" s="91"/>
      <c r="AN154" s="91"/>
      <c r="AO154" s="91"/>
      <c r="AP154" s="91"/>
      <c r="AQ154" s="91"/>
      <c r="AR154" s="91"/>
      <c r="AS154" s="91"/>
      <c r="AT154" s="91"/>
      <c r="AU154" s="91"/>
      <c r="AV154" s="91"/>
      <c r="AW154" s="91"/>
      <c r="AX154" s="91"/>
      <c r="AY154" s="91"/>
      <c r="AZ154" s="91"/>
      <c r="BA154" s="91"/>
      <c r="BB154" s="91"/>
      <c r="BC154" s="91"/>
      <c r="BD154" s="91"/>
      <c r="BE154" s="91"/>
      <c r="BF154" s="91"/>
      <c r="BG154" s="91"/>
      <c r="BH154" s="91"/>
      <c r="BI154" s="91"/>
      <c r="BJ154" s="91"/>
      <c r="BK154" s="91"/>
      <c r="BL154" s="91"/>
      <c r="BM154" s="91"/>
      <c r="BN154" s="91"/>
      <c r="BO154" s="91"/>
    </row>
    <row r="155" spans="1:67" s="91" customFormat="1" ht="15" customHeight="1">
      <c r="A155" s="1448" t="s">
        <v>695</v>
      </c>
      <c r="B155" s="1449"/>
      <c r="C155" s="1449"/>
      <c r="D155" s="1449"/>
      <c r="E155" s="1449"/>
      <c r="F155" s="1455" t="s">
        <v>99</v>
      </c>
      <c r="G155" s="1455"/>
      <c r="H155" s="1455"/>
      <c r="I155" s="1455"/>
      <c r="J155" s="1455"/>
      <c r="K155" s="1455"/>
      <c r="L155" s="1455"/>
      <c r="M155" s="1455"/>
      <c r="N155" s="1455"/>
      <c r="O155" s="1455"/>
      <c r="P155" s="1455"/>
      <c r="Q155" s="1455"/>
      <c r="R155" s="1455"/>
      <c r="S155" s="1455"/>
      <c r="T155" s="1455"/>
      <c r="U155" s="1455"/>
      <c r="V155" s="1455"/>
      <c r="W155" s="1455"/>
      <c r="X155" s="1455"/>
      <c r="Y155" s="1455"/>
      <c r="Z155" s="1398"/>
      <c r="AA155" s="1457" t="s">
        <v>210</v>
      </c>
      <c r="AB155" s="1455"/>
      <c r="AC155" s="1455"/>
      <c r="AD155" s="1398"/>
      <c r="AE155" s="636"/>
      <c r="AF155" s="636"/>
      <c r="AG155" s="636"/>
      <c r="AH155" s="104"/>
    </row>
    <row r="156" spans="1:67" s="91" customFormat="1" ht="15" customHeight="1">
      <c r="A156" s="1450"/>
      <c r="B156" s="1451"/>
      <c r="C156" s="1451"/>
      <c r="D156" s="1451"/>
      <c r="E156" s="1451"/>
      <c r="F156" s="923">
        <v>1</v>
      </c>
      <c r="G156" s="1486" t="s">
        <v>694</v>
      </c>
      <c r="H156" s="1486"/>
      <c r="I156" s="1486"/>
      <c r="J156" s="1486"/>
      <c r="K156" s="1486"/>
      <c r="L156" s="1486"/>
      <c r="M156" s="1486"/>
      <c r="N156" s="1486"/>
      <c r="O156" s="1486"/>
      <c r="P156" s="1486"/>
      <c r="Q156" s="1486"/>
      <c r="R156" s="1486"/>
      <c r="S156" s="1486"/>
      <c r="T156" s="1486"/>
      <c r="U156" s="1486"/>
      <c r="V156" s="1486"/>
      <c r="W156" s="1486"/>
      <c r="X156" s="1486"/>
      <c r="Y156" s="1486"/>
      <c r="Z156" s="1486"/>
      <c r="AA156" s="1389" t="str">
        <f>IF(AI157,"○",IF(AI158,"○",IF(AND(AI159,AI160),"○","×")))</f>
        <v>×</v>
      </c>
      <c r="AB156" s="1390"/>
      <c r="AC156" s="1390"/>
      <c r="AD156" s="1391"/>
      <c r="AE156" s="636"/>
      <c r="AF156" s="636"/>
      <c r="AG156" s="636"/>
      <c r="AH156" s="104"/>
      <c r="AI156" s="914" t="b">
        <f>AA156="○"</f>
        <v>0</v>
      </c>
    </row>
    <row r="157" spans="1:67" s="91" customFormat="1" ht="15" customHeight="1">
      <c r="A157" s="1450"/>
      <c r="B157" s="1451"/>
      <c r="C157" s="1451"/>
      <c r="D157" s="1451"/>
      <c r="E157" s="1451"/>
      <c r="F157" s="1719" t="s">
        <v>211</v>
      </c>
      <c r="G157" s="1720"/>
      <c r="H157" s="1456" t="s">
        <v>619</v>
      </c>
      <c r="I157" s="1456"/>
      <c r="J157" s="1456"/>
      <c r="K157" s="1456"/>
      <c r="L157" s="1456"/>
      <c r="M157" s="1456"/>
      <c r="N157" s="1456"/>
      <c r="O157" s="1456"/>
      <c r="P157" s="1456"/>
      <c r="Q157" s="1456"/>
      <c r="R157" s="1456"/>
      <c r="S157" s="1456"/>
      <c r="T157" s="1456"/>
      <c r="U157" s="1456"/>
      <c r="V157" s="1456"/>
      <c r="W157" s="1456"/>
      <c r="X157" s="1456"/>
      <c r="Y157" s="1456"/>
      <c r="Z157" s="1456"/>
      <c r="AA157" s="1360"/>
      <c r="AB157" s="1361"/>
      <c r="AC157" s="1361"/>
      <c r="AD157" s="1362"/>
      <c r="AE157" s="636"/>
      <c r="AF157" s="636"/>
      <c r="AG157" s="636"/>
      <c r="AH157" s="104"/>
      <c r="AI157" s="914" t="b">
        <f>AA157="○"</f>
        <v>0</v>
      </c>
    </row>
    <row r="158" spans="1:67" s="91" customFormat="1" ht="39.950000000000003" customHeight="1">
      <c r="A158" s="1450"/>
      <c r="B158" s="1451"/>
      <c r="C158" s="1451"/>
      <c r="D158" s="1451"/>
      <c r="E158" s="1451"/>
      <c r="F158" s="1450" t="s">
        <v>212</v>
      </c>
      <c r="G158" s="1451"/>
      <c r="H158" s="1489" t="s">
        <v>639</v>
      </c>
      <c r="I158" s="1489"/>
      <c r="J158" s="1489"/>
      <c r="K158" s="1489"/>
      <c r="L158" s="1489"/>
      <c r="M158" s="1489"/>
      <c r="N158" s="1489"/>
      <c r="O158" s="1489"/>
      <c r="P158" s="1489"/>
      <c r="Q158" s="1489"/>
      <c r="R158" s="1489"/>
      <c r="S158" s="1489"/>
      <c r="T158" s="1489"/>
      <c r="U158" s="1489"/>
      <c r="V158" s="1489"/>
      <c r="W158" s="1489"/>
      <c r="X158" s="1489"/>
      <c r="Y158" s="1489"/>
      <c r="Z158" s="1489"/>
      <c r="AA158" s="1360"/>
      <c r="AB158" s="1361"/>
      <c r="AC158" s="1361"/>
      <c r="AD158" s="1362"/>
      <c r="AE158" s="636"/>
      <c r="AF158" s="636"/>
      <c r="AG158" s="636"/>
      <c r="AH158" s="104"/>
      <c r="AI158" s="914" t="b">
        <f>AA158="○"</f>
        <v>0</v>
      </c>
    </row>
    <row r="159" spans="1:67" s="91" customFormat="1" ht="75" customHeight="1">
      <c r="A159" s="1450"/>
      <c r="B159" s="1451"/>
      <c r="C159" s="1451"/>
      <c r="D159" s="1451"/>
      <c r="E159" s="1451"/>
      <c r="F159" s="1498" t="s">
        <v>213</v>
      </c>
      <c r="G159" s="1499"/>
      <c r="H159" s="1489" t="s">
        <v>634</v>
      </c>
      <c r="I159" s="1489"/>
      <c r="J159" s="1489"/>
      <c r="K159" s="1489"/>
      <c r="L159" s="1489"/>
      <c r="M159" s="1489"/>
      <c r="N159" s="1489"/>
      <c r="O159" s="1489"/>
      <c r="P159" s="1489"/>
      <c r="Q159" s="1489"/>
      <c r="R159" s="1489"/>
      <c r="S159" s="1489"/>
      <c r="T159" s="1489"/>
      <c r="U159" s="1489"/>
      <c r="V159" s="1489"/>
      <c r="W159" s="1489"/>
      <c r="X159" s="1489"/>
      <c r="Y159" s="1489"/>
      <c r="Z159" s="1489"/>
      <c r="AA159" s="1503"/>
      <c r="AB159" s="1504"/>
      <c r="AC159" s="1504"/>
      <c r="AD159" s="1505"/>
      <c r="AE159" s="636"/>
      <c r="AF159" s="636"/>
      <c r="AG159" s="636"/>
      <c r="AH159" s="104"/>
      <c r="AI159" s="914" t="b">
        <f>AA159="○"</f>
        <v>0</v>
      </c>
    </row>
    <row r="160" spans="1:67" s="91" customFormat="1" ht="15" customHeight="1">
      <c r="A160" s="1450"/>
      <c r="B160" s="1451"/>
      <c r="C160" s="1451"/>
      <c r="D160" s="1451"/>
      <c r="E160" s="1451"/>
      <c r="F160" s="1452"/>
      <c r="G160" s="1451"/>
      <c r="H160" s="1454" t="s">
        <v>156</v>
      </c>
      <c r="I160" s="1454"/>
      <c r="J160" s="1454"/>
      <c r="K160" s="1454"/>
      <c r="L160" s="1371"/>
      <c r="M160" s="1371"/>
      <c r="N160" s="1371"/>
      <c r="O160" s="1371"/>
      <c r="P160" s="1371"/>
      <c r="Q160" s="1371"/>
      <c r="R160" s="1454" t="s">
        <v>214</v>
      </c>
      <c r="S160" s="1454"/>
      <c r="T160" s="1454"/>
      <c r="U160" s="1454"/>
      <c r="V160" s="1474"/>
      <c r="W160" s="1474"/>
      <c r="X160" s="1048" t="s">
        <v>157</v>
      </c>
      <c r="Y160" s="930"/>
      <c r="Z160" s="1050" t="s">
        <v>215</v>
      </c>
      <c r="AA160" s="1506"/>
      <c r="AB160" s="1507"/>
      <c r="AC160" s="1507"/>
      <c r="AD160" s="1508"/>
      <c r="AE160" s="636"/>
      <c r="AF160" s="636"/>
      <c r="AG160" s="636"/>
      <c r="AH160" s="104"/>
      <c r="AI160" s="491" t="b">
        <f>AND(L160&lt;&gt;0,V160&lt;&gt;0,Y160&lt;&gt;0)</f>
        <v>0</v>
      </c>
    </row>
    <row r="161" spans="1:36" s="91" customFormat="1" ht="15" customHeight="1">
      <c r="A161" s="1450"/>
      <c r="B161" s="1451"/>
      <c r="C161" s="1451"/>
      <c r="D161" s="1451"/>
      <c r="E161" s="1451"/>
      <c r="F161" s="921">
        <v>2</v>
      </c>
      <c r="G161" s="1486" t="s">
        <v>696</v>
      </c>
      <c r="H161" s="1486"/>
      <c r="I161" s="1486"/>
      <c r="J161" s="1486"/>
      <c r="K161" s="1486"/>
      <c r="L161" s="1486"/>
      <c r="M161" s="1486"/>
      <c r="N161" s="1486"/>
      <c r="O161" s="1486"/>
      <c r="P161" s="1486"/>
      <c r="Q161" s="1486"/>
      <c r="R161" s="1486"/>
      <c r="S161" s="1486"/>
      <c r="T161" s="1486"/>
      <c r="U161" s="1486"/>
      <c r="V161" s="1486"/>
      <c r="W161" s="1486"/>
      <c r="X161" s="1486"/>
      <c r="Y161" s="1486"/>
      <c r="Z161" s="1486"/>
      <c r="AA161" s="1503"/>
      <c r="AB161" s="1504"/>
      <c r="AC161" s="1504"/>
      <c r="AD161" s="1505"/>
      <c r="AE161" s="636"/>
      <c r="AF161" s="636"/>
      <c r="AG161" s="636"/>
      <c r="AH161" s="104"/>
      <c r="AI161" s="914" t="b">
        <f>AA161="○"</f>
        <v>0</v>
      </c>
      <c r="AJ161" s="87"/>
    </row>
    <row r="162" spans="1:36" s="91" customFormat="1" ht="15" customHeight="1">
      <c r="A162" s="1450"/>
      <c r="B162" s="1451"/>
      <c r="C162" s="1451"/>
      <c r="D162" s="1451"/>
      <c r="E162" s="1451"/>
      <c r="F162" s="929"/>
      <c r="G162" s="1489" t="s">
        <v>1095</v>
      </c>
      <c r="H162" s="1489"/>
      <c r="I162" s="1489"/>
      <c r="J162" s="1489"/>
      <c r="K162" s="1489"/>
      <c r="L162" s="1489"/>
      <c r="M162" s="1489"/>
      <c r="N162" s="1489"/>
      <c r="O162" s="1489"/>
      <c r="P162" s="1489"/>
      <c r="Q162" s="1489"/>
      <c r="R162" s="1489"/>
      <c r="S162" s="1489"/>
      <c r="T162" s="1489"/>
      <c r="U162" s="1489"/>
      <c r="V162" s="1489"/>
      <c r="W162" s="1489"/>
      <c r="X162" s="1489"/>
      <c r="Y162" s="1489"/>
      <c r="Z162" s="1490"/>
      <c r="AA162" s="1421" t="str">
        <f>IF(AI162,"○","")</f>
        <v/>
      </c>
      <c r="AB162" s="1422"/>
      <c r="AC162" s="1422"/>
      <c r="AD162" s="1463"/>
      <c r="AE162" s="636"/>
      <c r="AF162" s="636"/>
      <c r="AG162" s="636"/>
      <c r="AH162" s="104"/>
      <c r="AI162" s="914" t="b">
        <f>AND(AI163,AI164,AI165)</f>
        <v>0</v>
      </c>
      <c r="AJ162" s="87"/>
    </row>
    <row r="163" spans="1:36" s="91" customFormat="1" ht="15" customHeight="1">
      <c r="A163" s="1450"/>
      <c r="B163" s="1451"/>
      <c r="C163" s="1451"/>
      <c r="D163" s="1451"/>
      <c r="E163" s="1451"/>
      <c r="F163" s="1487" t="s">
        <v>1090</v>
      </c>
      <c r="G163" s="1488"/>
      <c r="H163" s="1472" t="s">
        <v>1089</v>
      </c>
      <c r="I163" s="1472"/>
      <c r="J163" s="1472"/>
      <c r="K163" s="1472"/>
      <c r="L163" s="1472"/>
      <c r="M163" s="1472"/>
      <c r="N163" s="1472"/>
      <c r="O163" s="1472"/>
      <c r="P163" s="1472"/>
      <c r="Q163" s="1472"/>
      <c r="R163" s="1472"/>
      <c r="S163" s="1472"/>
      <c r="T163" s="1472"/>
      <c r="U163" s="1472"/>
      <c r="V163" s="1472"/>
      <c r="W163" s="1472"/>
      <c r="X163" s="1472"/>
      <c r="Y163" s="1472"/>
      <c r="Z163" s="1473"/>
      <c r="AA163" s="1464"/>
      <c r="AB163" s="1465"/>
      <c r="AC163" s="1465"/>
      <c r="AD163" s="1466"/>
      <c r="AE163" s="636"/>
      <c r="AF163" s="636"/>
      <c r="AG163" s="636"/>
      <c r="AH163" s="104"/>
      <c r="AI163" s="914" t="b">
        <f t="shared" ref="AI163:AI165" si="14">AA163="○"</f>
        <v>0</v>
      </c>
      <c r="AJ163" s="87"/>
    </row>
    <row r="164" spans="1:36" s="91" customFormat="1" ht="15" customHeight="1">
      <c r="A164" s="1450"/>
      <c r="B164" s="1451"/>
      <c r="C164" s="1451"/>
      <c r="D164" s="1451"/>
      <c r="E164" s="1451"/>
      <c r="F164" s="1487" t="s">
        <v>1091</v>
      </c>
      <c r="G164" s="1488"/>
      <c r="H164" s="1472" t="s">
        <v>1093</v>
      </c>
      <c r="I164" s="1472"/>
      <c r="J164" s="1472"/>
      <c r="K164" s="1472"/>
      <c r="L164" s="1472"/>
      <c r="M164" s="1472"/>
      <c r="N164" s="1472"/>
      <c r="O164" s="1472"/>
      <c r="P164" s="1472"/>
      <c r="Q164" s="1472"/>
      <c r="R164" s="1472"/>
      <c r="S164" s="1472"/>
      <c r="T164" s="1472"/>
      <c r="U164" s="1472"/>
      <c r="V164" s="1472"/>
      <c r="W164" s="1472"/>
      <c r="X164" s="1472"/>
      <c r="Y164" s="1472"/>
      <c r="Z164" s="1473"/>
      <c r="AA164" s="1464"/>
      <c r="AB164" s="1465"/>
      <c r="AC164" s="1465"/>
      <c r="AD164" s="1466"/>
      <c r="AE164" s="636"/>
      <c r="AF164" s="636"/>
      <c r="AG164" s="636"/>
      <c r="AH164" s="104"/>
      <c r="AI164" s="914" t="b">
        <f t="shared" si="14"/>
        <v>0</v>
      </c>
      <c r="AJ164" s="87"/>
    </row>
    <row r="165" spans="1:36" s="91" customFormat="1" ht="24.95" customHeight="1">
      <c r="A165" s="1450"/>
      <c r="B165" s="1451"/>
      <c r="C165" s="1451"/>
      <c r="D165" s="1451"/>
      <c r="E165" s="1451"/>
      <c r="F165" s="1491" t="s">
        <v>1092</v>
      </c>
      <c r="G165" s="1492"/>
      <c r="H165" s="1493" t="s">
        <v>1094</v>
      </c>
      <c r="I165" s="1493"/>
      <c r="J165" s="1493"/>
      <c r="K165" s="1493"/>
      <c r="L165" s="1493"/>
      <c r="M165" s="1493"/>
      <c r="N165" s="1493"/>
      <c r="O165" s="1493"/>
      <c r="P165" s="1493"/>
      <c r="Q165" s="1493"/>
      <c r="R165" s="1493"/>
      <c r="S165" s="1493"/>
      <c r="T165" s="1493"/>
      <c r="U165" s="1493"/>
      <c r="V165" s="1493"/>
      <c r="W165" s="1493"/>
      <c r="X165" s="1493"/>
      <c r="Y165" s="1493"/>
      <c r="Z165" s="1494"/>
      <c r="AA165" s="1467"/>
      <c r="AB165" s="1468"/>
      <c r="AC165" s="1468"/>
      <c r="AD165" s="1469"/>
      <c r="AE165" s="636"/>
      <c r="AF165" s="636"/>
      <c r="AG165" s="636"/>
      <c r="AH165" s="104"/>
      <c r="AI165" s="914" t="b">
        <f t="shared" si="14"/>
        <v>0</v>
      </c>
      <c r="AJ165" s="87"/>
    </row>
    <row r="166" spans="1:36" s="91" customFormat="1" ht="15" customHeight="1">
      <c r="A166" s="1450"/>
      <c r="B166" s="1451"/>
      <c r="C166" s="1451"/>
      <c r="D166" s="1451"/>
      <c r="E166" s="1451"/>
      <c r="F166" s="921">
        <v>3</v>
      </c>
      <c r="G166" s="1475" t="s">
        <v>697</v>
      </c>
      <c r="H166" s="1475"/>
      <c r="I166" s="1475"/>
      <c r="J166" s="1475"/>
      <c r="K166" s="1475"/>
      <c r="L166" s="1475"/>
      <c r="M166" s="1475"/>
      <c r="N166" s="1475"/>
      <c r="O166" s="1475"/>
      <c r="P166" s="1475"/>
      <c r="Q166" s="1475"/>
      <c r="R166" s="1475"/>
      <c r="S166" s="1475"/>
      <c r="T166" s="1475"/>
      <c r="U166" s="1475"/>
      <c r="V166" s="1475"/>
      <c r="W166" s="1475"/>
      <c r="X166" s="1475"/>
      <c r="Y166" s="1475"/>
      <c r="Z166" s="1475"/>
      <c r="AA166" s="1495"/>
      <c r="AB166" s="1496"/>
      <c r="AC166" s="1496"/>
      <c r="AD166" s="1497"/>
      <c r="AE166" s="636"/>
      <c r="AF166" s="636"/>
      <c r="AG166" s="636"/>
      <c r="AH166" s="104"/>
      <c r="AI166" s="914" t="b">
        <f>AA166="○"</f>
        <v>0</v>
      </c>
    </row>
    <row r="167" spans="1:36" s="91" customFormat="1" ht="15" customHeight="1">
      <c r="A167" s="1452"/>
      <c r="B167" s="1453"/>
      <c r="C167" s="1453"/>
      <c r="D167" s="1453"/>
      <c r="E167" s="1453"/>
      <c r="F167" s="921">
        <v>4</v>
      </c>
      <c r="G167" s="1475" t="s">
        <v>1097</v>
      </c>
      <c r="H167" s="1475"/>
      <c r="I167" s="1475"/>
      <c r="J167" s="1475"/>
      <c r="K167" s="1475"/>
      <c r="L167" s="1475"/>
      <c r="M167" s="1475"/>
      <c r="N167" s="1475"/>
      <c r="O167" s="1475"/>
      <c r="P167" s="1475"/>
      <c r="Q167" s="1475"/>
      <c r="R167" s="1475"/>
      <c r="S167" s="1475"/>
      <c r="T167" s="1475"/>
      <c r="U167" s="1475"/>
      <c r="V167" s="1475"/>
      <c r="W167" s="1475"/>
      <c r="X167" s="1475"/>
      <c r="Y167" s="1475"/>
      <c r="Z167" s="1476"/>
      <c r="AA167" s="1457" t="str">
        <f>【様式５】職員数算出表!O26</f>
        <v>×</v>
      </c>
      <c r="AB167" s="1455"/>
      <c r="AC167" s="1455"/>
      <c r="AD167" s="1398"/>
      <c r="AE167" s="636"/>
      <c r="AF167" s="636"/>
      <c r="AG167" s="636"/>
      <c r="AH167" s="104"/>
      <c r="AI167" s="914" t="b">
        <f>AA167="○"</f>
        <v>0</v>
      </c>
    </row>
    <row r="168" spans="1:36" s="91" customFormat="1" ht="15" customHeight="1">
      <c r="A168" s="1389" t="s">
        <v>48</v>
      </c>
      <c r="B168" s="1390"/>
      <c r="C168" s="1390"/>
      <c r="D168" s="1390"/>
      <c r="E168" s="1391"/>
      <c r="F168" s="1515" t="s">
        <v>610</v>
      </c>
      <c r="G168" s="1515"/>
      <c r="H168" s="1515"/>
      <c r="I168" s="1515"/>
      <c r="J168" s="1515"/>
      <c r="K168" s="1515"/>
      <c r="L168" s="1515"/>
      <c r="M168" s="1515"/>
      <c r="N168" s="1515"/>
      <c r="O168" s="1515"/>
      <c r="P168" s="1515"/>
      <c r="Q168" s="1515"/>
      <c r="R168" s="1515"/>
      <c r="S168" s="1515"/>
      <c r="T168" s="1515"/>
      <c r="U168" s="1515"/>
      <c r="V168" s="1515"/>
      <c r="W168" s="1515"/>
      <c r="X168" s="1515"/>
      <c r="Y168" s="1515"/>
      <c r="Z168" s="1515"/>
      <c r="AA168" s="1515"/>
      <c r="AB168" s="1515"/>
      <c r="AC168" s="1515"/>
      <c r="AD168" s="1515"/>
      <c r="AE168" s="636"/>
      <c r="AF168" s="636"/>
      <c r="AG168" s="636"/>
      <c r="AH168" s="104"/>
    </row>
    <row r="169" spans="1:36" s="91" customFormat="1" ht="15" customHeight="1">
      <c r="A169" s="1392"/>
      <c r="B169" s="1393"/>
      <c r="C169" s="1393"/>
      <c r="D169" s="1393"/>
      <c r="E169" s="1394"/>
      <c r="F169" s="1403" t="s">
        <v>155</v>
      </c>
      <c r="G169" s="1346"/>
      <c r="H169" s="1346"/>
      <c r="I169" s="1346"/>
      <c r="J169" s="1346"/>
      <c r="K169" s="1346"/>
      <c r="L169" s="1346"/>
      <c r="M169" s="1346"/>
      <c r="N169" s="1346"/>
      <c r="O169" s="1346"/>
      <c r="P169" s="1346"/>
      <c r="Q169" s="1346"/>
      <c r="R169" s="1346"/>
      <c r="S169" s="1346"/>
      <c r="T169" s="1346"/>
      <c r="U169" s="1346"/>
      <c r="V169" s="1346"/>
      <c r="W169" s="1346"/>
      <c r="X169" s="1346"/>
      <c r="Y169" s="1346"/>
      <c r="Z169" s="1346"/>
      <c r="AA169" s="1346"/>
      <c r="AB169" s="1346"/>
      <c r="AC169" s="1346"/>
      <c r="AD169" s="1404"/>
      <c r="AE169" s="636"/>
      <c r="AF169" s="636"/>
      <c r="AG169" s="636"/>
      <c r="AH169" s="104"/>
    </row>
    <row r="170" spans="1:36" s="91" customFormat="1" ht="24.95" customHeight="1">
      <c r="A170" s="1392"/>
      <c r="B170" s="1393"/>
      <c r="C170" s="1393"/>
      <c r="D170" s="1393"/>
      <c r="E170" s="1394"/>
      <c r="F170" s="1447" t="s">
        <v>1076</v>
      </c>
      <c r="G170" s="1447"/>
      <c r="H170" s="1447"/>
      <c r="I170" s="1447"/>
      <c r="J170" s="1447"/>
      <c r="K170" s="1447"/>
      <c r="L170" s="1447"/>
      <c r="M170" s="1447"/>
      <c r="N170" s="1447"/>
      <c r="O170" s="1447"/>
      <c r="P170" s="1447"/>
      <c r="Q170" s="1447"/>
      <c r="R170" s="1447"/>
      <c r="S170" s="1447"/>
      <c r="T170" s="1447"/>
      <c r="U170" s="1447"/>
      <c r="V170" s="1447"/>
      <c r="W170" s="1447"/>
      <c r="X170" s="1447"/>
      <c r="Y170" s="1447"/>
      <c r="Z170" s="1447"/>
      <c r="AA170" s="1447"/>
      <c r="AB170" s="1447"/>
      <c r="AC170" s="1447"/>
      <c r="AD170" s="1447"/>
      <c r="AE170" s="636"/>
      <c r="AF170" s="636"/>
      <c r="AG170" s="636"/>
      <c r="AH170" s="104"/>
    </row>
    <row r="171" spans="1:36" s="91" customFormat="1" ht="15" customHeight="1">
      <c r="A171" s="1392"/>
      <c r="B171" s="1393"/>
      <c r="C171" s="1393"/>
      <c r="D171" s="1393"/>
      <c r="E171" s="1394"/>
      <c r="F171" s="1403" t="s">
        <v>1096</v>
      </c>
      <c r="G171" s="1346"/>
      <c r="H171" s="1346"/>
      <c r="I171" s="1346"/>
      <c r="J171" s="1346"/>
      <c r="K171" s="1346"/>
      <c r="L171" s="1346"/>
      <c r="M171" s="1346"/>
      <c r="N171" s="1346"/>
      <c r="O171" s="1346"/>
      <c r="P171" s="1346"/>
      <c r="Q171" s="1346"/>
      <c r="R171" s="1346"/>
      <c r="S171" s="1346"/>
      <c r="T171" s="1346"/>
      <c r="U171" s="1346"/>
      <c r="V171" s="1346"/>
      <c r="W171" s="1346"/>
      <c r="X171" s="1346"/>
      <c r="Y171" s="1346"/>
      <c r="Z171" s="1346"/>
      <c r="AA171" s="1346"/>
      <c r="AB171" s="1346"/>
      <c r="AC171" s="1346"/>
      <c r="AD171" s="1404"/>
      <c r="AE171" s="636"/>
      <c r="AF171" s="636"/>
      <c r="AG171" s="636"/>
      <c r="AH171" s="104"/>
    </row>
    <row r="172" spans="1:36" s="91" customFormat="1" ht="15" customHeight="1">
      <c r="A172" s="1395"/>
      <c r="B172" s="1396"/>
      <c r="C172" s="1396"/>
      <c r="D172" s="1396"/>
      <c r="E172" s="1397"/>
      <c r="F172" s="1470" t="s">
        <v>1098</v>
      </c>
      <c r="G172" s="1470"/>
      <c r="H172" s="1470"/>
      <c r="I172" s="1470"/>
      <c r="J172" s="1470"/>
      <c r="K172" s="1470"/>
      <c r="L172" s="1470"/>
      <c r="M172" s="1470"/>
      <c r="N172" s="1470"/>
      <c r="O172" s="1470"/>
      <c r="P172" s="1470"/>
      <c r="Q172" s="1470"/>
      <c r="R172" s="1470"/>
      <c r="S172" s="1470"/>
      <c r="T172" s="1470"/>
      <c r="U172" s="1470"/>
      <c r="V172" s="1470"/>
      <c r="W172" s="1470"/>
      <c r="X172" s="1470"/>
      <c r="Y172" s="1470"/>
      <c r="Z172" s="1470"/>
      <c r="AA172" s="1470"/>
      <c r="AB172" s="1470"/>
      <c r="AC172" s="1470"/>
      <c r="AD172" s="1470"/>
      <c r="AE172" s="636"/>
      <c r="AF172" s="636"/>
      <c r="AG172" s="636"/>
      <c r="AH172" s="104"/>
    </row>
    <row r="173" spans="1:36" s="91" customFormat="1" ht="15" customHeight="1">
      <c r="A173" s="636" t="s">
        <v>153</v>
      </c>
      <c r="B173" s="636"/>
      <c r="C173" s="636"/>
      <c r="D173" s="636"/>
      <c r="E173" s="636"/>
      <c r="F173" s="636"/>
      <c r="G173" s="636"/>
      <c r="H173" s="636"/>
      <c r="I173" s="636"/>
      <c r="J173" s="636"/>
      <c r="K173" s="636"/>
      <c r="L173" s="636"/>
      <c r="M173" s="636"/>
      <c r="N173" s="636"/>
      <c r="O173" s="636"/>
      <c r="P173" s="636"/>
      <c r="Q173" s="636"/>
      <c r="R173" s="636"/>
      <c r="S173" s="636"/>
      <c r="T173" s="636"/>
      <c r="U173" s="636"/>
      <c r="V173" s="636"/>
      <c r="W173" s="636"/>
      <c r="X173" s="636"/>
      <c r="Y173" s="636"/>
      <c r="Z173" s="636"/>
      <c r="AA173" s="636"/>
      <c r="AB173" s="636"/>
      <c r="AC173" s="636"/>
      <c r="AD173" s="636"/>
      <c r="AE173" s="636"/>
      <c r="AF173" s="636"/>
      <c r="AG173" s="636"/>
      <c r="AH173" s="104"/>
    </row>
    <row r="174" spans="1:36" s="91" customFormat="1" ht="15" customHeight="1">
      <c r="A174" s="636"/>
      <c r="B174" s="1346" t="s">
        <v>154</v>
      </c>
      <c r="C174" s="1346"/>
      <c r="D174" s="1346"/>
      <c r="E174" s="1346"/>
      <c r="F174" s="1346"/>
      <c r="G174" s="1346"/>
      <c r="H174" s="1346"/>
      <c r="I174" s="1346"/>
      <c r="J174" s="1346"/>
      <c r="K174" s="1346"/>
      <c r="L174" s="1346"/>
      <c r="M174" s="1346"/>
      <c r="N174" s="1346"/>
      <c r="O174" s="1346"/>
      <c r="P174" s="1346"/>
      <c r="Q174" s="1346"/>
      <c r="R174" s="1346"/>
      <c r="S174" s="1346"/>
      <c r="T174" s="1346"/>
      <c r="U174" s="1346"/>
      <c r="V174" s="1346"/>
      <c r="W174" s="1346"/>
      <c r="X174" s="1346"/>
      <c r="Y174" s="1346"/>
      <c r="Z174" s="1346"/>
      <c r="AA174" s="1346"/>
      <c r="AB174" s="1346"/>
      <c r="AC174" s="1346"/>
      <c r="AD174" s="1346"/>
      <c r="AE174" s="636"/>
      <c r="AF174" s="636"/>
      <c r="AG174" s="636"/>
      <c r="AH174" s="104"/>
    </row>
    <row r="175" spans="1:36" s="91" customFormat="1" ht="15" customHeight="1">
      <c r="A175" s="636"/>
      <c r="B175" s="1346"/>
      <c r="C175" s="1346"/>
      <c r="D175" s="1346"/>
      <c r="E175" s="1346"/>
      <c r="F175" s="1346"/>
      <c r="G175" s="1346"/>
      <c r="H175" s="1346"/>
      <c r="I175" s="1346"/>
      <c r="J175" s="1346"/>
      <c r="K175" s="1346"/>
      <c r="L175" s="1346"/>
      <c r="M175" s="1346"/>
      <c r="N175" s="1346"/>
      <c r="O175" s="1346"/>
      <c r="P175" s="1346"/>
      <c r="Q175" s="1346"/>
      <c r="R175" s="1346"/>
      <c r="S175" s="1346"/>
      <c r="T175" s="1346"/>
      <c r="U175" s="1346"/>
      <c r="V175" s="1346"/>
      <c r="W175" s="1346"/>
      <c r="X175" s="1346"/>
      <c r="Y175" s="1346"/>
      <c r="Z175" s="1346"/>
      <c r="AA175" s="1346"/>
      <c r="AB175" s="1346"/>
      <c r="AC175" s="1346"/>
      <c r="AD175" s="1346"/>
      <c r="AE175" s="636"/>
      <c r="AF175" s="636"/>
      <c r="AG175" s="636"/>
      <c r="AH175" s="104"/>
    </row>
    <row r="176" spans="1:36" s="91" customFormat="1" ht="15" customHeight="1">
      <c r="A176" s="636"/>
      <c r="B176" s="1346"/>
      <c r="C176" s="1346"/>
      <c r="D176" s="1346"/>
      <c r="E176" s="1346"/>
      <c r="F176" s="1346"/>
      <c r="G176" s="1346"/>
      <c r="H176" s="1346"/>
      <c r="I176" s="1346"/>
      <c r="J176" s="1346"/>
      <c r="K176" s="1346"/>
      <c r="L176" s="1346"/>
      <c r="M176" s="1346"/>
      <c r="N176" s="1346"/>
      <c r="O176" s="1346"/>
      <c r="P176" s="1346"/>
      <c r="Q176" s="1346"/>
      <c r="R176" s="1346"/>
      <c r="S176" s="1346"/>
      <c r="T176" s="1346"/>
      <c r="U176" s="1346"/>
      <c r="V176" s="1346"/>
      <c r="W176" s="1346"/>
      <c r="X176" s="1346"/>
      <c r="Y176" s="1346"/>
      <c r="Z176" s="1346"/>
      <c r="AA176" s="1346"/>
      <c r="AB176" s="1346"/>
      <c r="AC176" s="1346"/>
      <c r="AD176" s="1346"/>
      <c r="AE176" s="636"/>
      <c r="AF176" s="636"/>
      <c r="AG176" s="636"/>
      <c r="AH176" s="104"/>
    </row>
    <row r="177" spans="1:67" s="91" customFormat="1" ht="24.95" customHeight="1">
      <c r="A177" s="1346" t="s">
        <v>559</v>
      </c>
      <c r="B177" s="1346"/>
      <c r="C177" s="1346"/>
      <c r="D177" s="1346"/>
      <c r="E177" s="1346"/>
      <c r="F177" s="1346"/>
      <c r="G177" s="1346"/>
      <c r="H177" s="1346"/>
      <c r="I177" s="1346"/>
      <c r="J177" s="1346"/>
      <c r="K177" s="1346"/>
      <c r="L177" s="1346"/>
      <c r="M177" s="1346"/>
      <c r="N177" s="1346"/>
      <c r="O177" s="1346"/>
      <c r="P177" s="1346"/>
      <c r="Q177" s="1346"/>
      <c r="R177" s="1346"/>
      <c r="S177" s="1346"/>
      <c r="T177" s="1346"/>
      <c r="U177" s="1346"/>
      <c r="V177" s="1346"/>
      <c r="W177" s="1346"/>
      <c r="X177" s="1346"/>
      <c r="Y177" s="1346"/>
      <c r="Z177" s="1346"/>
      <c r="AA177" s="1346"/>
      <c r="AB177" s="1346"/>
      <c r="AC177" s="1346"/>
      <c r="AD177" s="1346"/>
      <c r="AE177" s="636"/>
      <c r="AF177" s="636"/>
      <c r="AG177" s="636"/>
      <c r="AH177" s="104"/>
    </row>
    <row r="178" spans="1:67" s="91" customFormat="1" ht="15" customHeight="1" thickBot="1">
      <c r="A178" s="905"/>
      <c r="B178" s="906"/>
      <c r="C178" s="906"/>
      <c r="D178" s="906"/>
      <c r="E178" s="906"/>
      <c r="F178" s="906"/>
      <c r="G178" s="906"/>
      <c r="H178" s="906"/>
      <c r="I178" s="906"/>
      <c r="J178" s="906"/>
      <c r="K178" s="906"/>
      <c r="L178" s="906"/>
      <c r="M178" s="906"/>
      <c r="N178" s="906"/>
      <c r="O178" s="906"/>
      <c r="P178" s="906"/>
      <c r="Q178" s="906"/>
      <c r="R178" s="906"/>
      <c r="S178" s="906"/>
      <c r="T178" s="906"/>
      <c r="U178" s="906"/>
      <c r="V178" s="906"/>
      <c r="W178" s="906"/>
      <c r="X178" s="906"/>
      <c r="Y178" s="906"/>
      <c r="Z178" s="906"/>
      <c r="AA178" s="906"/>
      <c r="AB178" s="906"/>
      <c r="AC178" s="906"/>
      <c r="AD178" s="906"/>
      <c r="AE178" s="636"/>
      <c r="AF178" s="636"/>
      <c r="AG178" s="636"/>
      <c r="AH178" s="104"/>
      <c r="AN178" s="95"/>
      <c r="AO178" s="95"/>
      <c r="AP178" s="95"/>
      <c r="AQ178" s="95"/>
      <c r="AR178" s="95"/>
      <c r="AS178" s="95"/>
      <c r="AT178" s="95"/>
      <c r="AU178" s="95"/>
      <c r="AV178" s="95"/>
      <c r="AW178" s="95"/>
      <c r="AX178" s="95"/>
      <c r="AY178" s="95"/>
      <c r="AZ178" s="95"/>
      <c r="BA178" s="95"/>
      <c r="BB178" s="95"/>
      <c r="BC178" s="95"/>
      <c r="BD178" s="95"/>
      <c r="BE178" s="95"/>
      <c r="BF178" s="95"/>
      <c r="BG178" s="95"/>
      <c r="BH178" s="95"/>
      <c r="BI178" s="95"/>
      <c r="BJ178" s="95"/>
      <c r="BK178" s="95"/>
      <c r="BL178" s="95"/>
      <c r="BM178" s="95"/>
      <c r="BN178" s="95"/>
      <c r="BO178" s="95"/>
    </row>
    <row r="179" spans="1:67" ht="15" customHeight="1" thickBot="1">
      <c r="A179" s="1376" t="s">
        <v>643</v>
      </c>
      <c r="B179" s="1376"/>
      <c r="C179" s="1376"/>
      <c r="D179" s="1376"/>
      <c r="E179" s="1376"/>
      <c r="F179" s="1376"/>
      <c r="G179" s="1376"/>
      <c r="H179" s="1376"/>
      <c r="I179" s="1376"/>
      <c r="J179" s="1405" t="str">
        <f>IF(AI182,AA183,"×")</f>
        <v>×</v>
      </c>
      <c r="K179" s="1406"/>
      <c r="L179" s="1406"/>
      <c r="M179" s="1406"/>
      <c r="N179" s="1407"/>
      <c r="O179" s="1471" t="s">
        <v>209</v>
      </c>
      <c r="P179" s="1393"/>
      <c r="Q179" s="1393"/>
      <c r="R179" s="636"/>
      <c r="S179" s="636"/>
      <c r="T179" s="636"/>
      <c r="U179" s="636"/>
      <c r="V179" s="636"/>
      <c r="W179" s="636"/>
      <c r="X179" s="636"/>
      <c r="Y179" s="636"/>
      <c r="Z179" s="636"/>
      <c r="AA179" s="636"/>
      <c r="AB179" s="636"/>
      <c r="AC179" s="636"/>
      <c r="AD179" s="636"/>
      <c r="AE179" s="636"/>
      <c r="AF179" s="636"/>
      <c r="AG179" s="636"/>
      <c r="AI179" s="91"/>
      <c r="AJ179" s="91"/>
      <c r="AK179" s="91"/>
      <c r="AL179" s="91"/>
      <c r="AM179" s="91"/>
      <c r="AN179" s="91"/>
      <c r="AO179" s="91"/>
      <c r="AP179" s="91"/>
      <c r="AQ179" s="91"/>
      <c r="AR179" s="91"/>
      <c r="AS179" s="91"/>
      <c r="AT179" s="91"/>
      <c r="AU179" s="91"/>
      <c r="AV179" s="91"/>
      <c r="AW179" s="91"/>
      <c r="AX179" s="91"/>
      <c r="AY179" s="91"/>
      <c r="AZ179" s="91"/>
      <c r="BA179" s="91"/>
      <c r="BB179" s="91"/>
      <c r="BC179" s="91"/>
      <c r="BD179" s="91"/>
      <c r="BE179" s="91"/>
      <c r="BF179" s="91"/>
      <c r="BG179" s="91"/>
      <c r="BH179" s="91"/>
      <c r="BI179" s="91"/>
      <c r="BJ179" s="91"/>
      <c r="BK179" s="91"/>
      <c r="BL179" s="91"/>
      <c r="BM179" s="91"/>
      <c r="BN179" s="91"/>
      <c r="BO179" s="91"/>
    </row>
    <row r="180" spans="1:67" s="91" customFormat="1" ht="15" customHeight="1">
      <c r="A180" s="715" t="s">
        <v>611</v>
      </c>
      <c r="B180" s="715"/>
      <c r="C180" s="911"/>
      <c r="D180" s="911"/>
      <c r="E180" s="911"/>
      <c r="F180" s="911"/>
      <c r="G180" s="911"/>
      <c r="H180" s="911"/>
      <c r="I180" s="911"/>
      <c r="J180" s="716"/>
      <c r="K180" s="716"/>
      <c r="L180" s="716"/>
      <c r="M180" s="716"/>
      <c r="N180" s="716"/>
      <c r="O180" s="920"/>
      <c r="P180" s="920"/>
      <c r="Q180" s="920"/>
      <c r="R180" s="636"/>
      <c r="S180" s="636"/>
      <c r="T180" s="636"/>
      <c r="U180" s="636"/>
      <c r="V180" s="920"/>
      <c r="W180" s="920"/>
      <c r="X180" s="920"/>
      <c r="Y180" s="920"/>
      <c r="Z180" s="920"/>
      <c r="AA180" s="920"/>
      <c r="AB180" s="920"/>
      <c r="AC180" s="920"/>
      <c r="AD180" s="920"/>
      <c r="AE180" s="636"/>
      <c r="AF180" s="636"/>
      <c r="AG180" s="636"/>
      <c r="AH180" s="104"/>
    </row>
    <row r="181" spans="1:67" s="91" customFormat="1" ht="15" customHeight="1">
      <c r="A181" s="1389" t="s">
        <v>70</v>
      </c>
      <c r="B181" s="1390"/>
      <c r="C181" s="1390"/>
      <c r="D181" s="1390"/>
      <c r="E181" s="1390"/>
      <c r="F181" s="1398" t="s">
        <v>99</v>
      </c>
      <c r="G181" s="1399"/>
      <c r="H181" s="1399"/>
      <c r="I181" s="1399"/>
      <c r="J181" s="1399"/>
      <c r="K181" s="1399"/>
      <c r="L181" s="1399"/>
      <c r="M181" s="1399"/>
      <c r="N181" s="1399"/>
      <c r="O181" s="1399"/>
      <c r="P181" s="1399"/>
      <c r="Q181" s="1399"/>
      <c r="R181" s="1399"/>
      <c r="S181" s="1399"/>
      <c r="T181" s="1399"/>
      <c r="U181" s="1399"/>
      <c r="V181" s="1399"/>
      <c r="W181" s="1399"/>
      <c r="X181" s="1399"/>
      <c r="Y181" s="1399"/>
      <c r="Z181" s="1399"/>
      <c r="AA181" s="1399" t="s">
        <v>210</v>
      </c>
      <c r="AB181" s="1399"/>
      <c r="AC181" s="1399"/>
      <c r="AD181" s="1399"/>
      <c r="AE181" s="636"/>
      <c r="AF181" s="636"/>
      <c r="AG181" s="636"/>
      <c r="AH181" s="104"/>
    </row>
    <row r="182" spans="1:67" s="91" customFormat="1" ht="15" customHeight="1">
      <c r="A182" s="1392"/>
      <c r="B182" s="1393"/>
      <c r="C182" s="1393"/>
      <c r="D182" s="1393"/>
      <c r="E182" s="1393"/>
      <c r="F182" s="1512" t="s">
        <v>601</v>
      </c>
      <c r="G182" s="1513"/>
      <c r="H182" s="1513"/>
      <c r="I182" s="1513"/>
      <c r="J182" s="1513"/>
      <c r="K182" s="1513"/>
      <c r="L182" s="1513"/>
      <c r="M182" s="1513"/>
      <c r="N182" s="1513"/>
      <c r="O182" s="1513"/>
      <c r="P182" s="1513"/>
      <c r="Q182" s="1513"/>
      <c r="R182" s="1513"/>
      <c r="S182" s="1513"/>
      <c r="T182" s="1513"/>
      <c r="U182" s="1513"/>
      <c r="V182" s="1513"/>
      <c r="W182" s="1513"/>
      <c r="X182" s="1513"/>
      <c r="Y182" s="1513"/>
      <c r="Z182" s="1514"/>
      <c r="AA182" s="1509" t="str">
        <f>IF('(別紙2)土曜閉所'!F10&gt;0,"○","×")</f>
        <v>×</v>
      </c>
      <c r="AB182" s="1510"/>
      <c r="AC182" s="1510"/>
      <c r="AD182" s="1511"/>
      <c r="AE182" s="636"/>
      <c r="AF182" s="636"/>
      <c r="AG182" s="636"/>
      <c r="AH182" s="104"/>
      <c r="AI182" s="914" t="b">
        <f>AA182="○"</f>
        <v>0</v>
      </c>
    </row>
    <row r="183" spans="1:67" s="91" customFormat="1" ht="15" customHeight="1">
      <c r="A183" s="1395"/>
      <c r="B183" s="1396"/>
      <c r="C183" s="1396"/>
      <c r="D183" s="1396"/>
      <c r="E183" s="1396"/>
      <c r="F183" s="1477" t="s">
        <v>569</v>
      </c>
      <c r="G183" s="1478"/>
      <c r="H183" s="1478"/>
      <c r="I183" s="1478"/>
      <c r="J183" s="1478"/>
      <c r="K183" s="1478"/>
      <c r="L183" s="1478"/>
      <c r="M183" s="1478"/>
      <c r="N183" s="1478"/>
      <c r="O183" s="1478"/>
      <c r="P183" s="1478"/>
      <c r="Q183" s="1478"/>
      <c r="R183" s="1478"/>
      <c r="S183" s="1478"/>
      <c r="T183" s="1478"/>
      <c r="U183" s="1478"/>
      <c r="V183" s="1478"/>
      <c r="W183" s="1478"/>
      <c r="X183" s="1478"/>
      <c r="Y183" s="1478"/>
      <c r="Z183" s="1479"/>
      <c r="AA183" s="1480" t="str">
        <f>'(別紙2)土曜閉所'!C11</f>
        <v>全て</v>
      </c>
      <c r="AB183" s="1481"/>
      <c r="AC183" s="1481"/>
      <c r="AD183" s="1482"/>
      <c r="AE183" s="636"/>
      <c r="AF183" s="636"/>
      <c r="AG183" s="636"/>
      <c r="AH183" s="104"/>
      <c r="AI183" s="185"/>
    </row>
    <row r="184" spans="1:67" s="91" customFormat="1" ht="15" customHeight="1">
      <c r="A184" s="1457" t="s">
        <v>666</v>
      </c>
      <c r="B184" s="1455"/>
      <c r="C184" s="1455"/>
      <c r="D184" s="1455"/>
      <c r="E184" s="1398"/>
      <c r="F184" s="1457" t="str">
        <f>'(別紙2)土曜閉所'!G22&amp;'(別紙2)土曜閉所'!C22&amp;" → "&amp;'(別紙2)土曜閉所'!F22</f>
        <v>(変更無)全て → 全て</v>
      </c>
      <c r="G184" s="1455"/>
      <c r="H184" s="1455"/>
      <c r="I184" s="1455"/>
      <c r="J184" s="1455"/>
      <c r="K184" s="1455"/>
      <c r="L184" s="1455"/>
      <c r="M184" s="1455"/>
      <c r="N184" s="1455"/>
      <c r="O184" s="1455"/>
      <c r="P184" s="1455"/>
      <c r="Q184" s="1455"/>
      <c r="R184" s="1455"/>
      <c r="S184" s="1455"/>
      <c r="T184" s="1455"/>
      <c r="U184" s="1455"/>
      <c r="V184" s="1455"/>
      <c r="W184" s="1455"/>
      <c r="X184" s="1455"/>
      <c r="Y184" s="1455"/>
      <c r="Z184" s="1455"/>
      <c r="AA184" s="1455"/>
      <c r="AB184" s="1455"/>
      <c r="AC184" s="1455"/>
      <c r="AD184" s="1398"/>
      <c r="AE184" s="636"/>
      <c r="AF184" s="636"/>
      <c r="AG184" s="636"/>
      <c r="AH184" s="104"/>
      <c r="AI184" s="185"/>
    </row>
    <row r="185" spans="1:67" s="91" customFormat="1" ht="15" customHeight="1">
      <c r="A185" s="1500" t="s">
        <v>48</v>
      </c>
      <c r="B185" s="1501"/>
      <c r="C185" s="1501"/>
      <c r="D185" s="1501"/>
      <c r="E185" s="1502"/>
      <c r="F185" s="1430" t="s">
        <v>685</v>
      </c>
      <c r="G185" s="1425"/>
      <c r="H185" s="1425"/>
      <c r="I185" s="1425"/>
      <c r="J185" s="1425"/>
      <c r="K185" s="1425"/>
      <c r="L185" s="1425"/>
      <c r="M185" s="1425"/>
      <c r="N185" s="1425"/>
      <c r="O185" s="1425"/>
      <c r="P185" s="1425"/>
      <c r="Q185" s="1425"/>
      <c r="R185" s="1425"/>
      <c r="S185" s="1425"/>
      <c r="T185" s="1425"/>
      <c r="U185" s="1425"/>
      <c r="V185" s="1425"/>
      <c r="W185" s="1425"/>
      <c r="X185" s="1425"/>
      <c r="Y185" s="1425"/>
      <c r="Z185" s="1425"/>
      <c r="AA185" s="1425"/>
      <c r="AB185" s="1425"/>
      <c r="AC185" s="1425"/>
      <c r="AD185" s="1426"/>
      <c r="AE185" s="636"/>
      <c r="AF185" s="636"/>
      <c r="AG185" s="636"/>
      <c r="AH185" s="104"/>
      <c r="AI185" s="185"/>
    </row>
    <row r="186" spans="1:67" s="91" customFormat="1" ht="50.1" customHeight="1">
      <c r="A186" s="1486" t="s">
        <v>589</v>
      </c>
      <c r="B186" s="1486"/>
      <c r="C186" s="1486"/>
      <c r="D186" s="1486"/>
      <c r="E186" s="1486"/>
      <c r="F186" s="1486"/>
      <c r="G186" s="1486"/>
      <c r="H186" s="1486"/>
      <c r="I186" s="1486"/>
      <c r="J186" s="1486"/>
      <c r="K186" s="1486"/>
      <c r="L186" s="1486"/>
      <c r="M186" s="1486"/>
      <c r="N186" s="1486"/>
      <c r="O186" s="1486"/>
      <c r="P186" s="1486"/>
      <c r="Q186" s="1486"/>
      <c r="R186" s="1486"/>
      <c r="S186" s="1486"/>
      <c r="T186" s="1486"/>
      <c r="U186" s="1486"/>
      <c r="V186" s="1486"/>
      <c r="W186" s="1486"/>
      <c r="X186" s="1486"/>
      <c r="Y186" s="1486"/>
      <c r="Z186" s="1486"/>
      <c r="AA186" s="1486"/>
      <c r="AB186" s="1486"/>
      <c r="AC186" s="1486"/>
      <c r="AD186" s="1486"/>
      <c r="AE186" s="636"/>
      <c r="AF186" s="636"/>
      <c r="AG186" s="636"/>
      <c r="AH186" s="104"/>
      <c r="AI186" s="185"/>
    </row>
    <row r="187" spans="1:67" s="91" customFormat="1" ht="15" customHeight="1" thickBot="1">
      <c r="A187" s="906"/>
      <c r="B187" s="916"/>
      <c r="C187" s="916"/>
      <c r="D187" s="916"/>
      <c r="E187" s="916"/>
      <c r="F187" s="916"/>
      <c r="G187" s="916"/>
      <c r="H187" s="916"/>
      <c r="I187" s="916"/>
      <c r="J187" s="916"/>
      <c r="K187" s="916"/>
      <c r="L187" s="916"/>
      <c r="M187" s="916"/>
      <c r="N187" s="916"/>
      <c r="O187" s="916"/>
      <c r="P187" s="916"/>
      <c r="Q187" s="916"/>
      <c r="R187" s="916"/>
      <c r="S187" s="916"/>
      <c r="T187" s="916"/>
      <c r="U187" s="916"/>
      <c r="V187" s="916"/>
      <c r="W187" s="916"/>
      <c r="X187" s="916"/>
      <c r="Y187" s="916"/>
      <c r="Z187" s="916"/>
      <c r="AA187" s="916"/>
      <c r="AB187" s="916"/>
      <c r="AC187" s="916"/>
      <c r="AD187" s="916"/>
      <c r="AE187" s="601"/>
      <c r="AF187" s="601"/>
      <c r="AG187" s="601"/>
      <c r="AH187" s="104"/>
      <c r="AI187" s="95"/>
      <c r="AJ187" s="95"/>
      <c r="AK187" s="95"/>
      <c r="AL187" s="95"/>
      <c r="AM187" s="95"/>
      <c r="AN187" s="95"/>
      <c r="AO187" s="95"/>
      <c r="AP187" s="95"/>
      <c r="AQ187" s="95"/>
      <c r="AR187" s="95"/>
      <c r="AS187" s="95"/>
      <c r="AT187" s="95"/>
      <c r="AU187" s="95"/>
      <c r="AV187" s="95"/>
      <c r="AW187" s="95"/>
      <c r="AX187" s="95"/>
      <c r="AY187" s="95"/>
      <c r="AZ187" s="95"/>
      <c r="BA187" s="95"/>
      <c r="BB187" s="95"/>
      <c r="BC187" s="95"/>
      <c r="BD187" s="95"/>
      <c r="BE187" s="95"/>
      <c r="BF187" s="95"/>
      <c r="BG187" s="95"/>
      <c r="BH187" s="95"/>
      <c r="BI187" s="95"/>
      <c r="BJ187" s="95"/>
      <c r="BK187" s="95"/>
      <c r="BL187" s="95"/>
      <c r="BM187" s="95"/>
      <c r="BN187" s="95"/>
      <c r="BO187" s="95"/>
    </row>
    <row r="188" spans="1:67" ht="15" customHeight="1" thickBot="1">
      <c r="A188" s="1376" t="s">
        <v>466</v>
      </c>
      <c r="B188" s="1376"/>
      <c r="C188" s="1376"/>
      <c r="D188" s="1376"/>
      <c r="E188" s="1376"/>
      <c r="F188" s="1376"/>
      <c r="G188" s="1376"/>
      <c r="H188" s="1376"/>
      <c r="I188" s="1376"/>
      <c r="J188" s="1483" t="str">
        <f>IF(OR(AJ196,AJ199,AJ202,AJ205,AJ208),"未入力エラー",IF(AI217,"遡及減算",IF(AND(AI212,DATE(D10,I10,1)&gt;=AI213),"減算解除",IF(AI188,"○","×"))))</f>
        <v>未入力エラー</v>
      </c>
      <c r="K188" s="1484"/>
      <c r="L188" s="1484"/>
      <c r="M188" s="1484"/>
      <c r="N188" s="1485"/>
      <c r="O188" s="1471" t="s">
        <v>209</v>
      </c>
      <c r="P188" s="1393"/>
      <c r="Q188" s="1393"/>
      <c r="R188" s="601"/>
      <c r="S188" s="601"/>
      <c r="T188" s="601"/>
      <c r="U188" s="601"/>
      <c r="V188" s="636"/>
      <c r="W188" s="636"/>
      <c r="X188" s="636"/>
      <c r="Y188" s="636"/>
      <c r="Z188" s="636"/>
      <c r="AA188" s="636"/>
      <c r="AB188" s="636"/>
      <c r="AC188" s="636"/>
      <c r="AD188" s="636"/>
      <c r="AE188" s="636"/>
      <c r="AF188" s="717"/>
      <c r="AG188" s="636"/>
      <c r="AI188" s="187" t="b">
        <f>AND(AI191,AI192)</f>
        <v>0</v>
      </c>
    </row>
    <row r="189" spans="1:67" ht="15" customHeight="1">
      <c r="A189" s="1346" t="s">
        <v>461</v>
      </c>
      <c r="B189" s="1346"/>
      <c r="C189" s="1346"/>
      <c r="D189" s="1346"/>
      <c r="E189" s="1346"/>
      <c r="F189" s="1346"/>
      <c r="G189" s="1346"/>
      <c r="H189" s="1346"/>
      <c r="I189" s="1346"/>
      <c r="J189" s="1346"/>
      <c r="K189" s="1346"/>
      <c r="L189" s="1346"/>
      <c r="M189" s="1346"/>
      <c r="N189" s="1346"/>
      <c r="O189" s="1346"/>
      <c r="P189" s="1346"/>
      <c r="Q189" s="1346"/>
      <c r="R189" s="1346"/>
      <c r="S189" s="1346"/>
      <c r="T189" s="1346"/>
      <c r="U189" s="1346"/>
      <c r="V189" s="1346"/>
      <c r="W189" s="1346"/>
      <c r="X189" s="1346"/>
      <c r="Y189" s="1346"/>
      <c r="Z189" s="1346"/>
      <c r="AA189" s="1346"/>
      <c r="AB189" s="1346"/>
      <c r="AC189" s="1346"/>
      <c r="AD189" s="1346"/>
      <c r="AE189" s="1346"/>
      <c r="AF189" s="1346"/>
      <c r="AG189" s="1346"/>
    </row>
    <row r="190" spans="1:67" ht="15" customHeight="1">
      <c r="A190" s="1458" t="s">
        <v>512</v>
      </c>
      <c r="B190" s="1459"/>
      <c r="C190" s="1459"/>
      <c r="D190" s="1459"/>
      <c r="E190" s="1460"/>
      <c r="F190" s="1377" t="s">
        <v>99</v>
      </c>
      <c r="G190" s="1377"/>
      <c r="H190" s="1377"/>
      <c r="I190" s="1377"/>
      <c r="J190" s="1377"/>
      <c r="K190" s="1377"/>
      <c r="L190" s="1377"/>
      <c r="M190" s="1377"/>
      <c r="N190" s="1377"/>
      <c r="O190" s="1377"/>
      <c r="P190" s="1377"/>
      <c r="Q190" s="1377"/>
      <c r="R190" s="1377"/>
      <c r="S190" s="1377"/>
      <c r="T190" s="1377"/>
      <c r="U190" s="1377"/>
      <c r="V190" s="1377"/>
      <c r="W190" s="1377"/>
      <c r="X190" s="1377"/>
      <c r="Y190" s="1377"/>
      <c r="Z190" s="1377"/>
      <c r="AA190" s="1377"/>
      <c r="AB190" s="1377"/>
      <c r="AC190" s="1378"/>
      <c r="AD190" s="1399" t="s">
        <v>210</v>
      </c>
      <c r="AE190" s="1399"/>
      <c r="AF190" s="1399"/>
      <c r="AG190" s="1399"/>
      <c r="AH190" s="95"/>
      <c r="AI190" s="92"/>
    </row>
    <row r="191" spans="1:67" ht="15" customHeight="1">
      <c r="A191" s="1459"/>
      <c r="B191" s="1459"/>
      <c r="C191" s="1459"/>
      <c r="D191" s="1459"/>
      <c r="E191" s="1459"/>
      <c r="F191" s="909">
        <v>1</v>
      </c>
      <c r="G191" s="1461" t="s">
        <v>511</v>
      </c>
      <c r="H191" s="1461"/>
      <c r="I191" s="1461"/>
      <c r="J191" s="1461"/>
      <c r="K191" s="1461"/>
      <c r="L191" s="1461"/>
      <c r="M191" s="1461"/>
      <c r="N191" s="1461"/>
      <c r="O191" s="1461"/>
      <c r="P191" s="1461"/>
      <c r="Q191" s="1461"/>
      <c r="R191" s="1461"/>
      <c r="S191" s="1461"/>
      <c r="T191" s="1461"/>
      <c r="U191" s="1461"/>
      <c r="V191" s="1461"/>
      <c r="W191" s="1461"/>
      <c r="X191" s="1461"/>
      <c r="Y191" s="1461"/>
      <c r="Z191" s="1461"/>
      <c r="AA191" s="1461"/>
      <c r="AB191" s="1461"/>
      <c r="AC191" s="1462"/>
      <c r="AD191" s="1457" t="str">
        <f>IF(AND(DATE($AK$2,4,1)&gt;AI194,AND(AJ197,AJ200,AJ203,AJ206,AJ209)),"○","×")</f>
        <v>×</v>
      </c>
      <c r="AE191" s="1455"/>
      <c r="AF191" s="1455"/>
      <c r="AG191" s="1398"/>
      <c r="AH191" s="95"/>
      <c r="AI191" s="914" t="b">
        <f>AD191="○"</f>
        <v>0</v>
      </c>
    </row>
    <row r="192" spans="1:67" ht="15" customHeight="1">
      <c r="A192" s="1459"/>
      <c r="B192" s="1459"/>
      <c r="C192" s="1459"/>
      <c r="D192" s="1459"/>
      <c r="E192" s="1459"/>
      <c r="F192" s="909">
        <v>2</v>
      </c>
      <c r="G192" s="1461" t="s">
        <v>686</v>
      </c>
      <c r="H192" s="1461"/>
      <c r="I192" s="1461"/>
      <c r="J192" s="1461"/>
      <c r="K192" s="1461"/>
      <c r="L192" s="1461"/>
      <c r="M192" s="1461"/>
      <c r="N192" s="1461"/>
      <c r="O192" s="1461"/>
      <c r="P192" s="1461"/>
      <c r="Q192" s="1461"/>
      <c r="R192" s="1461"/>
      <c r="S192" s="1461"/>
      <c r="T192" s="1461"/>
      <c r="U192" s="1461"/>
      <c r="V192" s="1461"/>
      <c r="W192" s="1461"/>
      <c r="X192" s="1461"/>
      <c r="Y192" s="1461"/>
      <c r="Z192" s="1461"/>
      <c r="AA192" s="1461"/>
      <c r="AB192" s="1461"/>
      <c r="AC192" s="1462"/>
      <c r="AD192" s="1457" t="str">
        <f>IF(AND(AI196,AI199,AI202,AI205,AI208),"○","×")</f>
        <v>×</v>
      </c>
      <c r="AE192" s="1455"/>
      <c r="AF192" s="1455"/>
      <c r="AG192" s="1398"/>
      <c r="AH192" s="95"/>
      <c r="AI192" s="914" t="b">
        <f>AD192="○"</f>
        <v>0</v>
      </c>
      <c r="AN192" s="104"/>
      <c r="AO192" s="104"/>
      <c r="AP192" s="104"/>
      <c r="AQ192" s="104"/>
      <c r="AR192" s="104"/>
      <c r="AS192" s="104"/>
      <c r="AT192" s="104"/>
      <c r="AU192" s="104"/>
      <c r="AV192" s="104"/>
      <c r="AW192" s="104"/>
      <c r="AX192" s="104"/>
      <c r="AY192" s="104"/>
      <c r="AZ192" s="104"/>
      <c r="BA192" s="104"/>
      <c r="BB192" s="104"/>
      <c r="BC192" s="104"/>
      <c r="BD192" s="104"/>
      <c r="BE192" s="104"/>
      <c r="BF192" s="104"/>
      <c r="BG192" s="104"/>
      <c r="BH192" s="104"/>
      <c r="BI192" s="104"/>
      <c r="BJ192" s="104"/>
      <c r="BK192" s="104"/>
      <c r="BL192" s="104"/>
      <c r="BM192" s="104"/>
      <c r="BN192" s="104"/>
      <c r="BO192" s="104"/>
    </row>
    <row r="193" spans="1:67" s="104" customFormat="1" ht="15" customHeight="1">
      <c r="A193" s="1581" t="s">
        <v>510</v>
      </c>
      <c r="B193" s="1581"/>
      <c r="C193" s="1581"/>
      <c r="D193" s="1581"/>
      <c r="E193" s="1581"/>
      <c r="F193" s="1581"/>
      <c r="G193" s="1581"/>
      <c r="H193" s="1581"/>
      <c r="I193" s="1581"/>
      <c r="J193" s="1581"/>
      <c r="K193" s="1581"/>
      <c r="L193" s="1581"/>
      <c r="M193" s="1581"/>
      <c r="N193" s="1581"/>
      <c r="O193" s="1581"/>
      <c r="P193" s="1581"/>
      <c r="Q193" s="1581"/>
      <c r="R193" s="1581"/>
      <c r="S193" s="1581"/>
      <c r="T193" s="1581"/>
      <c r="U193" s="1581"/>
      <c r="V193" s="1581"/>
      <c r="W193" s="1581"/>
      <c r="X193" s="1581"/>
      <c r="Y193" s="1581"/>
      <c r="Z193" s="1581"/>
      <c r="AA193" s="1581"/>
      <c r="AB193" s="1581"/>
      <c r="AC193" s="1581"/>
      <c r="AD193" s="1581"/>
      <c r="AE193" s="1581"/>
      <c r="AF193" s="1581"/>
      <c r="AG193" s="1581"/>
      <c r="AI193" s="95"/>
      <c r="AJ193" s="95"/>
      <c r="AK193" s="95"/>
      <c r="AL193" s="95"/>
      <c r="AM193" s="95"/>
      <c r="AN193" s="91"/>
      <c r="AO193" s="91"/>
      <c r="AP193" s="91"/>
      <c r="AQ193" s="91"/>
      <c r="AR193" s="91"/>
      <c r="AS193" s="91"/>
      <c r="AT193" s="91"/>
      <c r="AU193" s="91"/>
      <c r="AV193" s="91"/>
      <c r="AW193" s="91"/>
      <c r="AX193" s="91"/>
      <c r="AY193" s="91"/>
      <c r="AZ193" s="91"/>
      <c r="BA193" s="91"/>
      <c r="BB193" s="91"/>
      <c r="BC193" s="91"/>
      <c r="BD193" s="91"/>
      <c r="BE193" s="91"/>
      <c r="BF193" s="91"/>
      <c r="BG193" s="91"/>
      <c r="BH193" s="91"/>
      <c r="BI193" s="91"/>
      <c r="BJ193" s="91"/>
      <c r="BK193" s="91"/>
      <c r="BL193" s="91"/>
      <c r="BM193" s="91"/>
      <c r="BN193" s="91"/>
      <c r="BO193" s="91"/>
    </row>
    <row r="194" spans="1:67" s="91" customFormat="1" ht="15" customHeight="1">
      <c r="A194" s="1443" t="s">
        <v>463</v>
      </c>
      <c r="B194" s="1358"/>
      <c r="C194" s="1358"/>
      <c r="D194" s="1358"/>
      <c r="E194" s="1444"/>
      <c r="F194" s="1356"/>
      <c r="G194" s="1357"/>
      <c r="H194" s="1357"/>
      <c r="I194" s="1357"/>
      <c r="J194" s="1358" t="s">
        <v>11</v>
      </c>
      <c r="K194" s="1358"/>
      <c r="L194" s="1446"/>
      <c r="M194" s="1446"/>
      <c r="N194" s="1358" t="s">
        <v>185</v>
      </c>
      <c r="O194" s="1444"/>
      <c r="P194" s="718" t="s">
        <v>462</v>
      </c>
      <c r="Q194" s="920"/>
      <c r="R194" s="920"/>
      <c r="S194" s="920"/>
      <c r="T194" s="920"/>
      <c r="U194" s="920"/>
      <c r="V194" s="920"/>
      <c r="W194" s="920"/>
      <c r="X194" s="920"/>
      <c r="Y194" s="920"/>
      <c r="Z194" s="920"/>
      <c r="AA194" s="920"/>
      <c r="AB194" s="920"/>
      <c r="AC194" s="920"/>
      <c r="AD194" s="920"/>
      <c r="AE194" s="920"/>
      <c r="AF194" s="920"/>
      <c r="AG194" s="920"/>
      <c r="AH194" s="95"/>
      <c r="AI194" s="93">
        <f>IF(OR(F194=0,L194=0,ISERROR(DATE(F194,L194,1))),DATE(A195,4,1),DATE(F194,L194,1))</f>
        <v>43191</v>
      </c>
      <c r="AJ194" s="95"/>
      <c r="AK194" s="95"/>
      <c r="AL194" s="95"/>
      <c r="AM194" s="95"/>
      <c r="AN194" s="104"/>
      <c r="AO194" s="104"/>
      <c r="AP194" s="104"/>
      <c r="AQ194" s="104"/>
      <c r="AR194" s="104"/>
      <c r="AS194" s="104"/>
      <c r="AT194" s="104"/>
      <c r="AU194" s="104"/>
      <c r="AV194" s="104"/>
      <c r="AW194" s="104"/>
      <c r="AX194" s="104"/>
      <c r="AY194" s="104"/>
      <c r="AZ194" s="104"/>
      <c r="BA194" s="104"/>
      <c r="BB194" s="104"/>
      <c r="BC194" s="104"/>
      <c r="BD194" s="104"/>
      <c r="BE194" s="104"/>
      <c r="BF194" s="104"/>
      <c r="BG194" s="104"/>
      <c r="BH194" s="104"/>
      <c r="BI194" s="104"/>
      <c r="BJ194" s="104"/>
      <c r="BK194" s="157"/>
      <c r="BL194" s="157"/>
      <c r="BM194" s="104"/>
      <c r="BN194" s="104"/>
      <c r="BO194" s="104"/>
    </row>
    <row r="195" spans="1:67" s="104" customFormat="1" ht="15" customHeight="1" thickBot="1">
      <c r="A195" s="1445">
        <f>AK2-5</f>
        <v>2018</v>
      </c>
      <c r="B195" s="1445"/>
      <c r="C195" s="1445"/>
      <c r="D195" s="1445"/>
      <c r="E195" s="1445"/>
      <c r="F195" s="1441">
        <f>DATE($A195,AL$195,1)</f>
        <v>43191</v>
      </c>
      <c r="G195" s="1349"/>
      <c r="H195" s="1349">
        <f>DATE($A195,AN$195,1)</f>
        <v>43221</v>
      </c>
      <c r="I195" s="1349"/>
      <c r="J195" s="1349">
        <f>DATE($A195,AP$195,1)</f>
        <v>43252</v>
      </c>
      <c r="K195" s="1349"/>
      <c r="L195" s="1349">
        <f>DATE($A195,AR$195,1)</f>
        <v>43282</v>
      </c>
      <c r="M195" s="1349"/>
      <c r="N195" s="1349">
        <f>DATE($A195,AU$195,1)</f>
        <v>43313</v>
      </c>
      <c r="O195" s="1349"/>
      <c r="P195" s="1349">
        <f>DATE($A195,AW$195,1)</f>
        <v>43344</v>
      </c>
      <c r="Q195" s="1349"/>
      <c r="R195" s="1349">
        <f>DATE($A195,AY$195,1)</f>
        <v>43374</v>
      </c>
      <c r="S195" s="1349"/>
      <c r="T195" s="1349">
        <f>DATE($A195,BA$195,1)</f>
        <v>43405</v>
      </c>
      <c r="U195" s="1349"/>
      <c r="V195" s="1349">
        <f>DATE($A195,BC$195,1)</f>
        <v>43435</v>
      </c>
      <c r="W195" s="1349"/>
      <c r="X195" s="1349">
        <f>DATE($A195+1,BE$195,1)</f>
        <v>43466</v>
      </c>
      <c r="Y195" s="1349"/>
      <c r="Z195" s="1349">
        <f>DATE($A195+1,BG$195,1)</f>
        <v>43497</v>
      </c>
      <c r="AA195" s="1349"/>
      <c r="AB195" s="1349">
        <f>DATE($A195+1,BI$195,1)</f>
        <v>43525</v>
      </c>
      <c r="AC195" s="1365"/>
      <c r="AD195" s="1344" t="s">
        <v>1</v>
      </c>
      <c r="AE195" s="1344"/>
      <c r="AF195" s="1344" t="s">
        <v>61</v>
      </c>
      <c r="AG195" s="1344"/>
      <c r="AH195" s="95"/>
      <c r="AI195" s="92"/>
      <c r="AJ195" s="95"/>
      <c r="AK195" s="95"/>
      <c r="AL195" s="1335">
        <v>4</v>
      </c>
      <c r="AM195" s="1335"/>
      <c r="AN195" s="1335">
        <v>5</v>
      </c>
      <c r="AO195" s="1335"/>
      <c r="AP195" s="1335">
        <v>6</v>
      </c>
      <c r="AQ195" s="1335"/>
      <c r="AR195" s="1335">
        <v>7</v>
      </c>
      <c r="AS195" s="1335"/>
      <c r="AT195" s="1152"/>
      <c r="AU195" s="1335">
        <v>8</v>
      </c>
      <c r="AV195" s="1335"/>
      <c r="AW195" s="1335">
        <v>9</v>
      </c>
      <c r="AX195" s="1335"/>
      <c r="AY195" s="1335">
        <v>10</v>
      </c>
      <c r="AZ195" s="1335"/>
      <c r="BA195" s="1335">
        <v>11</v>
      </c>
      <c r="BB195" s="1335"/>
      <c r="BC195" s="1335">
        <v>12</v>
      </c>
      <c r="BD195" s="1335"/>
      <c r="BE195" s="1335">
        <v>1</v>
      </c>
      <c r="BF195" s="1335"/>
      <c r="BG195" s="1335">
        <v>2</v>
      </c>
      <c r="BH195" s="1335"/>
      <c r="BI195" s="1335">
        <v>3</v>
      </c>
      <c r="BJ195" s="1335"/>
      <c r="BK195" s="90"/>
      <c r="BL195" s="90"/>
      <c r="BM195" s="95"/>
      <c r="BN195" s="95"/>
      <c r="BO195" s="95"/>
    </row>
    <row r="196" spans="1:67" ht="15" customHeight="1">
      <c r="A196" s="1435" t="s">
        <v>62</v>
      </c>
      <c r="B196" s="1436"/>
      <c r="C196" s="1436"/>
      <c r="D196" s="1436"/>
      <c r="E196" s="1437"/>
      <c r="F196" s="1438"/>
      <c r="G196" s="1383"/>
      <c r="H196" s="1383"/>
      <c r="I196" s="1383"/>
      <c r="J196" s="1383"/>
      <c r="K196" s="1383"/>
      <c r="L196" s="1383"/>
      <c r="M196" s="1383"/>
      <c r="N196" s="1383"/>
      <c r="O196" s="1383"/>
      <c r="P196" s="1383"/>
      <c r="Q196" s="1383"/>
      <c r="R196" s="1383"/>
      <c r="S196" s="1383"/>
      <c r="T196" s="1383"/>
      <c r="U196" s="1383"/>
      <c r="V196" s="1383"/>
      <c r="W196" s="1383"/>
      <c r="X196" s="1383"/>
      <c r="Y196" s="1383"/>
      <c r="Z196" s="1383"/>
      <c r="AA196" s="1383"/>
      <c r="AB196" s="1383"/>
      <c r="AC196" s="1384"/>
      <c r="AD196" s="1382">
        <f>SUM(AL196:BJ196)</f>
        <v>0</v>
      </c>
      <c r="AE196" s="1382"/>
      <c r="AF196" s="1431">
        <f>IFERROR(ROUNDDOWN(AD196/AD197,2),0)</f>
        <v>0</v>
      </c>
      <c r="AG196" s="1432"/>
      <c r="AH196" s="95"/>
      <c r="AI196" s="1439" t="b">
        <f>AF196&gt;=120%</f>
        <v>0</v>
      </c>
      <c r="AJ196" s="153" t="b">
        <f>COUNTIF(AL196:BJ196,"×")&gt;0</f>
        <v>1</v>
      </c>
      <c r="AK196" s="154" t="s">
        <v>664</v>
      </c>
      <c r="AL196" s="1336" t="str">
        <f>IF(F195&gt;=$AI$194,IF(F196="","×",F196),"△")</f>
        <v>×</v>
      </c>
      <c r="AM196" s="1336"/>
      <c r="AN196" s="1336" t="str">
        <f>IF(H195&gt;=$AI$194,IF(H196="","×",H196),"△")</f>
        <v>×</v>
      </c>
      <c r="AO196" s="1336"/>
      <c r="AP196" s="1336" t="str">
        <f>IF(J195&gt;=$AI$194,IF(J196="","×",J196),"△")</f>
        <v>×</v>
      </c>
      <c r="AQ196" s="1336"/>
      <c r="AR196" s="1336" t="str">
        <f>IF(L195&gt;=$AI$194,IF(L196="","×",L196),"△")</f>
        <v>×</v>
      </c>
      <c r="AS196" s="1336"/>
      <c r="AT196" s="1153"/>
      <c r="AU196" s="1336" t="str">
        <f>IF(N195&gt;=$AI$194,IF(N196="","×",N196),"△")</f>
        <v>×</v>
      </c>
      <c r="AV196" s="1336"/>
      <c r="AW196" s="1336" t="str">
        <f>IF(P195&gt;=$AI$194,IF(P196="","×",P196),"△")</f>
        <v>×</v>
      </c>
      <c r="AX196" s="1336"/>
      <c r="AY196" s="1336" t="str">
        <f>IF(R195&gt;=$AI$194,IF(R196="","×",R196),"△")</f>
        <v>×</v>
      </c>
      <c r="AZ196" s="1336"/>
      <c r="BA196" s="1336" t="str">
        <f>IF(T195&gt;=$AI$194,IF(T196="","×",T196),"△")</f>
        <v>×</v>
      </c>
      <c r="BB196" s="1336"/>
      <c r="BC196" s="1336" t="str">
        <f>IF(V195&gt;=$AI$194,IF(V196="","×",V196),"△")</f>
        <v>×</v>
      </c>
      <c r="BD196" s="1336"/>
      <c r="BE196" s="1336" t="str">
        <f>IF(X195&gt;=$AI$194,IF(X196="","×",X196),"△")</f>
        <v>×</v>
      </c>
      <c r="BF196" s="1336"/>
      <c r="BG196" s="1336" t="str">
        <f>IF(Z195&gt;=$AI$194,IF(Z196="","×",Z196),"△")</f>
        <v>×</v>
      </c>
      <c r="BH196" s="1336"/>
      <c r="BI196" s="1336" t="str">
        <f>IF(AB195&gt;=$AI$194,IF(AB196="","×",AB196),"△")</f>
        <v>×</v>
      </c>
      <c r="BJ196" s="1336"/>
      <c r="BK196" s="1363"/>
      <c r="BL196" s="1364"/>
    </row>
    <row r="197" spans="1:67" ht="15" customHeight="1" thickBot="1">
      <c r="A197" s="1442" t="s">
        <v>63</v>
      </c>
      <c r="B197" s="1442"/>
      <c r="C197" s="1442"/>
      <c r="D197" s="1442"/>
      <c r="E197" s="1442"/>
      <c r="F197" s="1408">
        <f>IF(F195&gt;=$AI$194,SUM($R$14:$S$15),"")</f>
        <v>0</v>
      </c>
      <c r="G197" s="1345"/>
      <c r="H197" s="1345">
        <f>IF(H195&gt;=$AI$194,SUM($R$14:$S$15),"")</f>
        <v>0</v>
      </c>
      <c r="I197" s="1345"/>
      <c r="J197" s="1345">
        <f>IF(J195&gt;=$AI$194,SUM($R$14:$S$15),"")</f>
        <v>0</v>
      </c>
      <c r="K197" s="1345"/>
      <c r="L197" s="1345">
        <f>IF(L195&gt;=$AI$194,SUM($R$14:$S$15),"")</f>
        <v>0</v>
      </c>
      <c r="M197" s="1345"/>
      <c r="N197" s="1345">
        <f>IF(N195&gt;=$AI$194,SUM($R$14:$S$15),"")</f>
        <v>0</v>
      </c>
      <c r="O197" s="1345"/>
      <c r="P197" s="1345">
        <f>IF(P195&gt;=$AI$194,SUM($R$14:$S$15),"")</f>
        <v>0</v>
      </c>
      <c r="Q197" s="1345"/>
      <c r="R197" s="1345">
        <f>IF(R195&gt;=$AI$194,SUM($R$14:$S$15),"")</f>
        <v>0</v>
      </c>
      <c r="S197" s="1345"/>
      <c r="T197" s="1345">
        <f>IF(T195&gt;=$AI$194,SUM($R$14:$S$15),"")</f>
        <v>0</v>
      </c>
      <c r="U197" s="1345"/>
      <c r="V197" s="1345">
        <f>IF(V195&gt;=$AI$194,SUM($R$14:$S$15),"")</f>
        <v>0</v>
      </c>
      <c r="W197" s="1345"/>
      <c r="X197" s="1345">
        <f>IF(X195&gt;=$AI$194,SUM($R$14:$S$15),"")</f>
        <v>0</v>
      </c>
      <c r="Y197" s="1345"/>
      <c r="Z197" s="1345">
        <f>IF(Z195&gt;=$AI$194,SUM($R$14:$S$15),"")</f>
        <v>0</v>
      </c>
      <c r="AA197" s="1345"/>
      <c r="AB197" s="1345">
        <f>IF(AB195&gt;=$AI$194,SUM($R$14:$S$15),"")</f>
        <v>0</v>
      </c>
      <c r="AC197" s="1385"/>
      <c r="AD197" s="1359">
        <f>SUM(F197:AC197)</f>
        <v>0</v>
      </c>
      <c r="AE197" s="1359"/>
      <c r="AF197" s="1433"/>
      <c r="AG197" s="1434"/>
      <c r="AH197" s="95"/>
      <c r="AI197" s="1440"/>
      <c r="AJ197" s="155" t="b">
        <f>AND(COUNTIF(AL197:BJ197,1)&gt;=1,COUNTIF(AL197:BJ197,2)=0)</f>
        <v>0</v>
      </c>
      <c r="AK197" s="156" t="s">
        <v>665</v>
      </c>
      <c r="AL197" s="1381">
        <f>IF(OR(AL196="×",AL196="△"),0,IF(F196&gt;F197,1,2))</f>
        <v>0</v>
      </c>
      <c r="AM197" s="1381"/>
      <c r="AN197" s="1347">
        <f>IF(OR(AN196="×",AN196="△"),0,IF(H196&gt;H197,1,2))</f>
        <v>0</v>
      </c>
      <c r="AO197" s="1348"/>
      <c r="AP197" s="1347">
        <f>IF(OR(AP196="×",AP196="△"),0,IF(J196&gt;J197,1,2))</f>
        <v>0</v>
      </c>
      <c r="AQ197" s="1348"/>
      <c r="AR197" s="1347">
        <f>IF(OR(AR196="×",AR196="△"),0,IF(L196&gt;L197,1,2))</f>
        <v>0</v>
      </c>
      <c r="AS197" s="1348"/>
      <c r="AT197" s="1165"/>
      <c r="AU197" s="1347">
        <f>IF(OR(AU196="×",AU196="△"),0,IF(N196&gt;N197,1,2))</f>
        <v>0</v>
      </c>
      <c r="AV197" s="1348"/>
      <c r="AW197" s="1347">
        <f>IF(OR(AW196="×",AW196="△"),0,IF(P196&gt;P197,1,2))</f>
        <v>0</v>
      </c>
      <c r="AX197" s="1348"/>
      <c r="AY197" s="1347">
        <f>IF(OR(AY196="×",AY196="△"),0,IF(R196&gt;R197,1,2))</f>
        <v>0</v>
      </c>
      <c r="AZ197" s="1348"/>
      <c r="BA197" s="1347">
        <f>IF(OR(BA196="×",BA196="△"),0,IF(T196&gt;T197,1,2))</f>
        <v>0</v>
      </c>
      <c r="BB197" s="1348"/>
      <c r="BC197" s="1347">
        <f>IF(OR(BC196="×",BC196="△"),0,IF(V196&gt;V197,1,2))</f>
        <v>0</v>
      </c>
      <c r="BD197" s="1348"/>
      <c r="BE197" s="1347">
        <f>IF(OR(BE196="×",BE196="△"),0,IF(X196&gt;X197,1,2))</f>
        <v>0</v>
      </c>
      <c r="BF197" s="1348"/>
      <c r="BG197" s="1347">
        <f>IF(OR(BG196="×",BG196="△"),0,IF(Z196&gt;Z197,1,2))</f>
        <v>0</v>
      </c>
      <c r="BH197" s="1348"/>
      <c r="BI197" s="1347">
        <f>IF(OR(BI196="×",BI196="△"),0,IF(AB196&gt;AB197,1,2))</f>
        <v>0</v>
      </c>
      <c r="BJ197" s="1348"/>
      <c r="BK197" s="1379"/>
      <c r="BL197" s="1380"/>
      <c r="BM197" s="104"/>
      <c r="BN197" s="104"/>
      <c r="BO197" s="104"/>
    </row>
    <row r="198" spans="1:67" s="104" customFormat="1" ht="15" customHeight="1" thickBot="1">
      <c r="A198" s="1445">
        <f>AK2-4</f>
        <v>2019</v>
      </c>
      <c r="B198" s="1445"/>
      <c r="C198" s="1445"/>
      <c r="D198" s="1445"/>
      <c r="E198" s="1445"/>
      <c r="F198" s="1441">
        <f>DATE($A198,AL$195,1)</f>
        <v>43556</v>
      </c>
      <c r="G198" s="1349"/>
      <c r="H198" s="1349">
        <f>DATE($A198,AN$195,1)</f>
        <v>43586</v>
      </c>
      <c r="I198" s="1349"/>
      <c r="J198" s="1349">
        <f>DATE($A198,AP$195,1)</f>
        <v>43617</v>
      </c>
      <c r="K198" s="1349"/>
      <c r="L198" s="1349">
        <f>DATE($A198,AR$195,1)</f>
        <v>43647</v>
      </c>
      <c r="M198" s="1349"/>
      <c r="N198" s="1349">
        <f>DATE($A198,AU$195,1)</f>
        <v>43678</v>
      </c>
      <c r="O198" s="1349"/>
      <c r="P198" s="1349">
        <f>DATE($A198,AW$195,1)</f>
        <v>43709</v>
      </c>
      <c r="Q198" s="1349"/>
      <c r="R198" s="1349">
        <f>DATE($A198,AY$195,1)</f>
        <v>43739</v>
      </c>
      <c r="S198" s="1349"/>
      <c r="T198" s="1349">
        <f>DATE($A198,BA$195,1)</f>
        <v>43770</v>
      </c>
      <c r="U198" s="1349"/>
      <c r="V198" s="1349">
        <f>DATE($A198,BC$195,1)</f>
        <v>43800</v>
      </c>
      <c r="W198" s="1349"/>
      <c r="X198" s="1349">
        <f>DATE($A198+1,BE$195,1)</f>
        <v>43831</v>
      </c>
      <c r="Y198" s="1349"/>
      <c r="Z198" s="1349">
        <f>DATE($A198+1,BG$195,1)</f>
        <v>43862</v>
      </c>
      <c r="AA198" s="1349"/>
      <c r="AB198" s="1349">
        <f>DATE($A198+1,BI$195,1)</f>
        <v>43891</v>
      </c>
      <c r="AC198" s="1365"/>
      <c r="AD198" s="1344" t="s">
        <v>1</v>
      </c>
      <c r="AE198" s="1344"/>
      <c r="AF198" s="1344" t="s">
        <v>61</v>
      </c>
      <c r="AG198" s="1344"/>
      <c r="AH198" s="95"/>
      <c r="AI198" s="92"/>
      <c r="AJ198" s="95"/>
      <c r="AK198" s="95"/>
      <c r="AL198" s="95"/>
      <c r="AM198" s="95"/>
      <c r="AN198" s="95"/>
      <c r="AO198" s="95"/>
      <c r="AP198" s="95"/>
      <c r="AQ198" s="95"/>
      <c r="AR198" s="95"/>
      <c r="AS198" s="95"/>
      <c r="AT198" s="95"/>
      <c r="AU198" s="95"/>
      <c r="AV198" s="95"/>
      <c r="AW198" s="95"/>
      <c r="AX198" s="95"/>
      <c r="AY198" s="95"/>
      <c r="AZ198" s="95"/>
      <c r="BA198" s="95"/>
      <c r="BB198" s="95"/>
      <c r="BC198" s="95"/>
      <c r="BD198" s="95"/>
      <c r="BE198" s="95"/>
      <c r="BF198" s="95"/>
      <c r="BG198" s="95"/>
      <c r="BH198" s="95"/>
      <c r="BI198" s="95"/>
      <c r="BJ198" s="95"/>
      <c r="BK198" s="90"/>
      <c r="BL198" s="90"/>
      <c r="BM198" s="95"/>
      <c r="BN198" s="95"/>
      <c r="BO198" s="95"/>
    </row>
    <row r="199" spans="1:67" ht="15" customHeight="1">
      <c r="A199" s="1435" t="s">
        <v>62</v>
      </c>
      <c r="B199" s="1436"/>
      <c r="C199" s="1436"/>
      <c r="D199" s="1436"/>
      <c r="E199" s="1437"/>
      <c r="F199" s="1438"/>
      <c r="G199" s="1383"/>
      <c r="H199" s="1383"/>
      <c r="I199" s="1383"/>
      <c r="J199" s="1383"/>
      <c r="K199" s="1383"/>
      <c r="L199" s="1383"/>
      <c r="M199" s="1383"/>
      <c r="N199" s="1383"/>
      <c r="O199" s="1383"/>
      <c r="P199" s="1383"/>
      <c r="Q199" s="1383"/>
      <c r="R199" s="1383"/>
      <c r="S199" s="1383"/>
      <c r="T199" s="1383"/>
      <c r="U199" s="1383"/>
      <c r="V199" s="1383"/>
      <c r="W199" s="1383"/>
      <c r="X199" s="1383"/>
      <c r="Y199" s="1383"/>
      <c r="Z199" s="1383"/>
      <c r="AA199" s="1383"/>
      <c r="AB199" s="1383"/>
      <c r="AC199" s="1384"/>
      <c r="AD199" s="1382">
        <f>SUM(AL199:BJ199)</f>
        <v>0</v>
      </c>
      <c r="AE199" s="1382"/>
      <c r="AF199" s="1431">
        <f>IFERROR(ROUNDDOWN(AD199/AD200,2),0)</f>
        <v>0</v>
      </c>
      <c r="AG199" s="1432"/>
      <c r="AH199" s="95"/>
      <c r="AI199" s="1386" t="b">
        <f>AF199&gt;=120%</f>
        <v>0</v>
      </c>
      <c r="AJ199" s="153" t="b">
        <f>COUNTIF(AL199:BJ199,"×")&gt;0</f>
        <v>1</v>
      </c>
      <c r="AK199" s="154" t="s">
        <v>664</v>
      </c>
      <c r="AL199" s="1336" t="str">
        <f>IF(F198&gt;=$AI$194,IF(F199="","×",F199),"△")</f>
        <v>×</v>
      </c>
      <c r="AM199" s="1336"/>
      <c r="AN199" s="1336" t="str">
        <f>IF(H198&gt;=$AI$194,IF(H199="","×",H199),"△")</f>
        <v>×</v>
      </c>
      <c r="AO199" s="1336"/>
      <c r="AP199" s="1336" t="str">
        <f>IF(J198&gt;=$AI$194,IF(J199="","×",J199),"△")</f>
        <v>×</v>
      </c>
      <c r="AQ199" s="1336"/>
      <c r="AR199" s="1336" t="str">
        <f>IF(L198&gt;=$AI$194,IF(L199="","×",L199),"△")</f>
        <v>×</v>
      </c>
      <c r="AS199" s="1336"/>
      <c r="AT199" s="1153"/>
      <c r="AU199" s="1336" t="str">
        <f>IF(N198&gt;=$AI$194,IF(N199="","×",N199),"△")</f>
        <v>×</v>
      </c>
      <c r="AV199" s="1336"/>
      <c r="AW199" s="1336" t="str">
        <f>IF(P198&gt;=$AI$194,IF(P199="","×",P199),"△")</f>
        <v>×</v>
      </c>
      <c r="AX199" s="1336"/>
      <c r="AY199" s="1336" t="str">
        <f>IF(R198&gt;=$AI$194,IF(R199="","×",R199),"△")</f>
        <v>×</v>
      </c>
      <c r="AZ199" s="1336"/>
      <c r="BA199" s="1336" t="str">
        <f>IF(T198&gt;=$AI$194,IF(T199="","×",T199),"△")</f>
        <v>×</v>
      </c>
      <c r="BB199" s="1336"/>
      <c r="BC199" s="1336" t="str">
        <f>IF(V198&gt;=$AI$194,IF(V199="","×",V199),"△")</f>
        <v>×</v>
      </c>
      <c r="BD199" s="1336"/>
      <c r="BE199" s="1336" t="str">
        <f>IF(X198&gt;=$AI$194,IF(X199="","×",X199),"△")</f>
        <v>×</v>
      </c>
      <c r="BF199" s="1336"/>
      <c r="BG199" s="1336" t="str">
        <f>IF(Z198&gt;=$AI$194,IF(Z199="","×",Z199),"△")</f>
        <v>×</v>
      </c>
      <c r="BH199" s="1336"/>
      <c r="BI199" s="1336" t="str">
        <f>IF(AB198&gt;=$AI$194,IF(AB199="","×",AB199),"△")</f>
        <v>×</v>
      </c>
      <c r="BJ199" s="1336"/>
      <c r="BK199" s="1363"/>
      <c r="BL199" s="1364"/>
    </row>
    <row r="200" spans="1:67" ht="15" customHeight="1" thickBot="1">
      <c r="A200" s="1442" t="s">
        <v>63</v>
      </c>
      <c r="B200" s="1442"/>
      <c r="C200" s="1442"/>
      <c r="D200" s="1442"/>
      <c r="E200" s="1442"/>
      <c r="F200" s="1408">
        <f>IF(F198=$AI$194,SUM($R$14:$S$15),AB197)</f>
        <v>0</v>
      </c>
      <c r="G200" s="1345"/>
      <c r="H200" s="1345">
        <f>IF(H198&gt;=$AI$194,SUM($R$14:$S$15),"")</f>
        <v>0</v>
      </c>
      <c r="I200" s="1345"/>
      <c r="J200" s="1345">
        <f>IF(J198&gt;=$AI$194,SUM($R$14:$S$15),"")</f>
        <v>0</v>
      </c>
      <c r="K200" s="1345"/>
      <c r="L200" s="1345">
        <f>IF(L198&gt;=$AI$194,SUM($R$14:$S$15),"")</f>
        <v>0</v>
      </c>
      <c r="M200" s="1345"/>
      <c r="N200" s="1345">
        <f>IF(N198&gt;=$AI$194,SUM($R$14:$S$15),"")</f>
        <v>0</v>
      </c>
      <c r="O200" s="1345"/>
      <c r="P200" s="1345">
        <f>IF(P198&gt;=$AI$194,SUM($R$14:$S$15),"")</f>
        <v>0</v>
      </c>
      <c r="Q200" s="1345"/>
      <c r="R200" s="1345">
        <f>IF(R198&gt;=$AI$194,SUM($R$14:$S$15),"")</f>
        <v>0</v>
      </c>
      <c r="S200" s="1345"/>
      <c r="T200" s="1345">
        <f>IF(T198&gt;=$AI$194,SUM($R$14:$S$15),"")</f>
        <v>0</v>
      </c>
      <c r="U200" s="1345"/>
      <c r="V200" s="1345">
        <f>IF(V198&gt;=$AI$194,SUM($R$14:$S$15),"")</f>
        <v>0</v>
      </c>
      <c r="W200" s="1345"/>
      <c r="X200" s="1345">
        <f>IF(X198&gt;=$AI$194,SUM($R$14:$S$15),"")</f>
        <v>0</v>
      </c>
      <c r="Y200" s="1345"/>
      <c r="Z200" s="1345">
        <f>IF(Z198&gt;=$AI$194,SUM($R$14:$S$15),"")</f>
        <v>0</v>
      </c>
      <c r="AA200" s="1345"/>
      <c r="AB200" s="1345">
        <f>IF(AB198&gt;=$AI$194,SUM($R$14:$S$15),"")</f>
        <v>0</v>
      </c>
      <c r="AC200" s="1385"/>
      <c r="AD200" s="1359">
        <f>SUM(F200:AC200)</f>
        <v>0</v>
      </c>
      <c r="AE200" s="1359"/>
      <c r="AF200" s="1433"/>
      <c r="AG200" s="1434"/>
      <c r="AH200" s="95"/>
      <c r="AI200" s="1387"/>
      <c r="AJ200" s="155" t="b">
        <f>AND(COUNTIF(AL200:BJ200,1)&gt;=1,COUNTIF(AL200:BJ200,2)=0)</f>
        <v>0</v>
      </c>
      <c r="AK200" s="156" t="s">
        <v>665</v>
      </c>
      <c r="AL200" s="1381">
        <f>IF(OR(AL199="×",AL199="△"),0,IF(F199&gt;F200,1,2))</f>
        <v>0</v>
      </c>
      <c r="AM200" s="1381"/>
      <c r="AN200" s="1347">
        <f>IF(OR(AN199="×",AN199="△"),0,IF(H199&gt;H200,1,2))</f>
        <v>0</v>
      </c>
      <c r="AO200" s="1348"/>
      <c r="AP200" s="1347">
        <f>IF(OR(AP199="×",AP199="△"),0,IF(J199&gt;J200,1,2))</f>
        <v>0</v>
      </c>
      <c r="AQ200" s="1348"/>
      <c r="AR200" s="1347">
        <f>IF(OR(AR199="×",AR199="△"),0,IF(L199&gt;L200,1,2))</f>
        <v>0</v>
      </c>
      <c r="AS200" s="1348"/>
      <c r="AT200" s="1165"/>
      <c r="AU200" s="1347">
        <f>IF(OR(AU199="×",AU199="△"),0,IF(N199&gt;N200,1,2))</f>
        <v>0</v>
      </c>
      <c r="AV200" s="1348"/>
      <c r="AW200" s="1347">
        <f>IF(OR(AW199="×",AW199="△"),0,IF(P199&gt;P200,1,2))</f>
        <v>0</v>
      </c>
      <c r="AX200" s="1348"/>
      <c r="AY200" s="1347">
        <f>IF(OR(AY199="×",AY199="△"),0,IF(R199&gt;R200,1,2))</f>
        <v>0</v>
      </c>
      <c r="AZ200" s="1348"/>
      <c r="BA200" s="1347">
        <f>IF(OR(BA199="×",BA199="△"),0,IF(T199&gt;T200,1,2))</f>
        <v>0</v>
      </c>
      <c r="BB200" s="1348"/>
      <c r="BC200" s="1347">
        <f>IF(OR(BC199="×",BC199="△"),0,IF(V199&gt;V200,1,2))</f>
        <v>0</v>
      </c>
      <c r="BD200" s="1348"/>
      <c r="BE200" s="1347">
        <f>IF(OR(BE199="×",BE199="△"),0,IF(X199&gt;X200,1,2))</f>
        <v>0</v>
      </c>
      <c r="BF200" s="1348"/>
      <c r="BG200" s="1347">
        <f>IF(OR(BG199="×",BG199="△"),0,IF(Z199&gt;Z200,1,2))</f>
        <v>0</v>
      </c>
      <c r="BH200" s="1348"/>
      <c r="BI200" s="1347">
        <f>IF(OR(BI199="×",BI199="△"),0,IF(AB199&gt;AB200,1,2))</f>
        <v>0</v>
      </c>
      <c r="BJ200" s="1348"/>
      <c r="BK200" s="1379"/>
      <c r="BL200" s="1380"/>
      <c r="BM200" s="104"/>
      <c r="BN200" s="104"/>
      <c r="BO200" s="104"/>
    </row>
    <row r="201" spans="1:67" s="104" customFormat="1" ht="15" customHeight="1" thickBot="1">
      <c r="A201" s="1445">
        <f>AK2-3</f>
        <v>2020</v>
      </c>
      <c r="B201" s="1445"/>
      <c r="C201" s="1445"/>
      <c r="D201" s="1445"/>
      <c r="E201" s="1445"/>
      <c r="F201" s="1441">
        <f>DATE($A201,AL$195,1)</f>
        <v>43922</v>
      </c>
      <c r="G201" s="1349"/>
      <c r="H201" s="1349">
        <f>DATE($A201,AN$195,1)</f>
        <v>43952</v>
      </c>
      <c r="I201" s="1349"/>
      <c r="J201" s="1349">
        <f>DATE($A201,AP$195,1)</f>
        <v>43983</v>
      </c>
      <c r="K201" s="1349"/>
      <c r="L201" s="1349">
        <f>DATE($A201,AR$195,1)</f>
        <v>44013</v>
      </c>
      <c r="M201" s="1349"/>
      <c r="N201" s="1349">
        <f>DATE($A201,AU$195,1)</f>
        <v>44044</v>
      </c>
      <c r="O201" s="1349"/>
      <c r="P201" s="1349">
        <f>DATE($A201,AW$195,1)</f>
        <v>44075</v>
      </c>
      <c r="Q201" s="1349"/>
      <c r="R201" s="1349">
        <f>DATE($A201,AY$195,1)</f>
        <v>44105</v>
      </c>
      <c r="S201" s="1349"/>
      <c r="T201" s="1349">
        <f>DATE($A201,BA$195,1)</f>
        <v>44136</v>
      </c>
      <c r="U201" s="1349"/>
      <c r="V201" s="1349">
        <f>DATE($A201,BC$195,1)</f>
        <v>44166</v>
      </c>
      <c r="W201" s="1349"/>
      <c r="X201" s="1349">
        <f>DATE($A201+1,BE$195,1)</f>
        <v>44197</v>
      </c>
      <c r="Y201" s="1349"/>
      <c r="Z201" s="1349">
        <f>DATE($A201+1,BG$195,1)</f>
        <v>44228</v>
      </c>
      <c r="AA201" s="1349"/>
      <c r="AB201" s="1349">
        <f>DATE($A201+1,BI$195,1)</f>
        <v>44256</v>
      </c>
      <c r="AC201" s="1365"/>
      <c r="AD201" s="1344" t="s">
        <v>1</v>
      </c>
      <c r="AE201" s="1344"/>
      <c r="AF201" s="1344" t="s">
        <v>61</v>
      </c>
      <c r="AG201" s="1344"/>
      <c r="AH201" s="95"/>
      <c r="AI201" s="92"/>
      <c r="AJ201" s="95"/>
      <c r="AK201" s="95"/>
      <c r="AL201" s="95"/>
      <c r="AM201" s="95"/>
      <c r="AN201" s="95"/>
      <c r="AO201" s="95"/>
      <c r="AP201" s="95"/>
      <c r="AQ201" s="95"/>
      <c r="AR201" s="95"/>
      <c r="AS201" s="95"/>
      <c r="AT201" s="95"/>
      <c r="AU201" s="95"/>
      <c r="AV201" s="95"/>
      <c r="AW201" s="95"/>
      <c r="AX201" s="95"/>
      <c r="AY201" s="95"/>
      <c r="AZ201" s="95"/>
      <c r="BA201" s="95"/>
      <c r="BB201" s="95"/>
      <c r="BC201" s="95"/>
      <c r="BD201" s="95"/>
      <c r="BE201" s="95"/>
      <c r="BF201" s="95"/>
      <c r="BG201" s="95"/>
      <c r="BH201" s="95"/>
      <c r="BI201" s="95"/>
      <c r="BJ201" s="95"/>
      <c r="BK201" s="90"/>
      <c r="BL201" s="90"/>
      <c r="BM201" s="95"/>
      <c r="BN201" s="95"/>
      <c r="BO201" s="95"/>
    </row>
    <row r="202" spans="1:67" ht="15" customHeight="1">
      <c r="A202" s="1435" t="s">
        <v>62</v>
      </c>
      <c r="B202" s="1436"/>
      <c r="C202" s="1436"/>
      <c r="D202" s="1436"/>
      <c r="E202" s="1437"/>
      <c r="F202" s="1438"/>
      <c r="G202" s="1383"/>
      <c r="H202" s="1383"/>
      <c r="I202" s="1383"/>
      <c r="J202" s="1383"/>
      <c r="K202" s="1383"/>
      <c r="L202" s="1383"/>
      <c r="M202" s="1383"/>
      <c r="N202" s="1383"/>
      <c r="O202" s="1383"/>
      <c r="P202" s="1383"/>
      <c r="Q202" s="1383"/>
      <c r="R202" s="1383"/>
      <c r="S202" s="1383"/>
      <c r="T202" s="1383"/>
      <c r="U202" s="1383"/>
      <c r="V202" s="1383"/>
      <c r="W202" s="1383"/>
      <c r="X202" s="1383"/>
      <c r="Y202" s="1383"/>
      <c r="Z202" s="1383"/>
      <c r="AA202" s="1383"/>
      <c r="AB202" s="1383"/>
      <c r="AC202" s="1384"/>
      <c r="AD202" s="1382">
        <f>SUM(AL202:BJ202)</f>
        <v>0</v>
      </c>
      <c r="AE202" s="1382"/>
      <c r="AF202" s="1431">
        <f>IFERROR(ROUNDDOWN(AD202/AD203,2),0)</f>
        <v>0</v>
      </c>
      <c r="AG202" s="1432"/>
      <c r="AH202" s="95"/>
      <c r="AI202" s="1386" t="b">
        <f>AF202&gt;=120%</f>
        <v>0</v>
      </c>
      <c r="AJ202" s="153" t="b">
        <f>COUNTIF(AL202:BJ202,"×")&gt;0</f>
        <v>1</v>
      </c>
      <c r="AK202" s="154" t="s">
        <v>664</v>
      </c>
      <c r="AL202" s="1336" t="str">
        <f>IF(F201&gt;=$AI$194,IF(F202="","×",F202),"△")</f>
        <v>×</v>
      </c>
      <c r="AM202" s="1336"/>
      <c r="AN202" s="1336" t="str">
        <f>IF(H201&gt;=$AI$194,IF(H202="","×",H202),"△")</f>
        <v>×</v>
      </c>
      <c r="AO202" s="1336"/>
      <c r="AP202" s="1336" t="str">
        <f>IF(J201&gt;=$AI$194,IF(J202="","×",J202),"△")</f>
        <v>×</v>
      </c>
      <c r="AQ202" s="1336"/>
      <c r="AR202" s="1336" t="str">
        <f>IF(L201&gt;=$AI$194,IF(L202="","×",L202),"△")</f>
        <v>×</v>
      </c>
      <c r="AS202" s="1336"/>
      <c r="AT202" s="1153"/>
      <c r="AU202" s="1336" t="str">
        <f>IF(N201&gt;=$AI$194,IF(N202="","×",N202),"△")</f>
        <v>×</v>
      </c>
      <c r="AV202" s="1336"/>
      <c r="AW202" s="1336" t="str">
        <f>IF(P201&gt;=$AI$194,IF(P202="","×",P202),"△")</f>
        <v>×</v>
      </c>
      <c r="AX202" s="1336"/>
      <c r="AY202" s="1336" t="str">
        <f>IF(R201&gt;=$AI$194,IF(R202="","×",R202),"△")</f>
        <v>×</v>
      </c>
      <c r="AZ202" s="1336"/>
      <c r="BA202" s="1336" t="str">
        <f>IF(T201&gt;=$AI$194,IF(T202="","×",T202),"△")</f>
        <v>×</v>
      </c>
      <c r="BB202" s="1336"/>
      <c r="BC202" s="1336" t="str">
        <f>IF(V201&gt;=$AI$194,IF(V202="","×",V202),"△")</f>
        <v>×</v>
      </c>
      <c r="BD202" s="1336"/>
      <c r="BE202" s="1336" t="str">
        <f>IF(X201&gt;=$AI$194,IF(X202="","×",X202),"△")</f>
        <v>×</v>
      </c>
      <c r="BF202" s="1336"/>
      <c r="BG202" s="1336" t="str">
        <f>IF(Z201&gt;=$AI$194,IF(Z202="","×",Z202),"△")</f>
        <v>×</v>
      </c>
      <c r="BH202" s="1336"/>
      <c r="BI202" s="1336" t="str">
        <f>IF(AB201&gt;=$AI$194,IF(AB202="","×",AB202),"△")</f>
        <v>×</v>
      </c>
      <c r="BJ202" s="1336"/>
      <c r="BK202" s="1363"/>
      <c r="BL202" s="1364"/>
    </row>
    <row r="203" spans="1:67" ht="15" customHeight="1" thickBot="1">
      <c r="A203" s="1442" t="s">
        <v>63</v>
      </c>
      <c r="B203" s="1442"/>
      <c r="C203" s="1442"/>
      <c r="D203" s="1442"/>
      <c r="E203" s="1442"/>
      <c r="F203" s="1408">
        <f>IF(F201=$AI$194,SUM($R$14:$S$15),AB200)</f>
        <v>0</v>
      </c>
      <c r="G203" s="1345"/>
      <c r="H203" s="1345">
        <f>IF(H201&gt;=$AI$194,SUM($R$14:$S$15),"")</f>
        <v>0</v>
      </c>
      <c r="I203" s="1345"/>
      <c r="J203" s="1345">
        <f>IF(J201&gt;=$AI$194,SUM($R$14:$S$15),"")</f>
        <v>0</v>
      </c>
      <c r="K203" s="1345"/>
      <c r="L203" s="1345">
        <f>IF(L201&gt;=$AI$194,SUM($R$14:$S$15),"")</f>
        <v>0</v>
      </c>
      <c r="M203" s="1345"/>
      <c r="N203" s="1345">
        <f>IF(N201&gt;=$AI$194,SUM($R$14:$S$15),"")</f>
        <v>0</v>
      </c>
      <c r="O203" s="1345"/>
      <c r="P203" s="1345">
        <f>IF(P201&gt;=$AI$194,SUM($R$14:$S$15),"")</f>
        <v>0</v>
      </c>
      <c r="Q203" s="1345"/>
      <c r="R203" s="1345">
        <f>IF(R201&gt;=$AI$194,SUM($R$14:$S$15),"")</f>
        <v>0</v>
      </c>
      <c r="S203" s="1345"/>
      <c r="T203" s="1345">
        <f>IF(T201&gt;=$AI$194,SUM($R$14:$S$15),"")</f>
        <v>0</v>
      </c>
      <c r="U203" s="1345"/>
      <c r="V203" s="1345">
        <f>IF(V201&gt;=$AI$194,SUM($R$14:$S$15),"")</f>
        <v>0</v>
      </c>
      <c r="W203" s="1345"/>
      <c r="X203" s="1345">
        <f>IF(X201&gt;=$AI$194,SUM($R$14:$S$15),"")</f>
        <v>0</v>
      </c>
      <c r="Y203" s="1345"/>
      <c r="Z203" s="1345">
        <f>IF(Z201&gt;=$AI$194,SUM($R$14:$S$15),"")</f>
        <v>0</v>
      </c>
      <c r="AA203" s="1345"/>
      <c r="AB203" s="1345">
        <f>IF(AB201&gt;=$AI$194,SUM($R$14:$S$15),"")</f>
        <v>0</v>
      </c>
      <c r="AC203" s="1385"/>
      <c r="AD203" s="1359">
        <f>SUM(F203:AC203)</f>
        <v>0</v>
      </c>
      <c r="AE203" s="1359"/>
      <c r="AF203" s="1433"/>
      <c r="AG203" s="1434"/>
      <c r="AH203" s="95"/>
      <c r="AI203" s="1387"/>
      <c r="AJ203" s="155" t="b">
        <f>AND(COUNTIF(AL203:BJ203,1)&gt;=1,COUNTIF(AL203:BJ203,2)=0)</f>
        <v>0</v>
      </c>
      <c r="AK203" s="156" t="s">
        <v>665</v>
      </c>
      <c r="AL203" s="1381">
        <f>IF(OR(AL202="×",AL202="△"),0,IF(F202&gt;F203,1,2))</f>
        <v>0</v>
      </c>
      <c r="AM203" s="1381"/>
      <c r="AN203" s="1347">
        <f>IF(OR(AN202="×",AN202="△"),0,IF(H202&gt;H203,1,2))</f>
        <v>0</v>
      </c>
      <c r="AO203" s="1348"/>
      <c r="AP203" s="1347">
        <f>IF(OR(AP202="×",AP202="△"),0,IF(J202&gt;J203,1,2))</f>
        <v>0</v>
      </c>
      <c r="AQ203" s="1348"/>
      <c r="AR203" s="1347">
        <f>IF(OR(AR202="×",AR202="△"),0,IF(L202&gt;L203,1,2))</f>
        <v>0</v>
      </c>
      <c r="AS203" s="1348"/>
      <c r="AT203" s="1165"/>
      <c r="AU203" s="1347">
        <f>IF(OR(AU202="×",AU202="△"),0,IF(N202&gt;N203,1,2))</f>
        <v>0</v>
      </c>
      <c r="AV203" s="1348"/>
      <c r="AW203" s="1347">
        <f>IF(OR(AW202="×",AW202="△"),0,IF(P202&gt;P203,1,2))</f>
        <v>0</v>
      </c>
      <c r="AX203" s="1348"/>
      <c r="AY203" s="1347">
        <f>IF(OR(AY202="×",AY202="△"),0,IF(R202&gt;R203,1,2))</f>
        <v>0</v>
      </c>
      <c r="AZ203" s="1348"/>
      <c r="BA203" s="1347">
        <f>IF(OR(BA202="×",BA202="△"),0,IF(T202&gt;T203,1,2))</f>
        <v>0</v>
      </c>
      <c r="BB203" s="1348"/>
      <c r="BC203" s="1347">
        <f>IF(OR(BC202="×",BC202="△"),0,IF(V202&gt;V203,1,2))</f>
        <v>0</v>
      </c>
      <c r="BD203" s="1348"/>
      <c r="BE203" s="1347">
        <f>IF(OR(BE202="×",BE202="△"),0,IF(X202&gt;X203,1,2))</f>
        <v>0</v>
      </c>
      <c r="BF203" s="1348"/>
      <c r="BG203" s="1347">
        <f>IF(OR(BG202="×",BG202="△"),0,IF(Z202&gt;Z203,1,2))</f>
        <v>0</v>
      </c>
      <c r="BH203" s="1348"/>
      <c r="BI203" s="1347">
        <f>IF(OR(BI202="×",BI202="△"),0,IF(AB202&gt;AB203,1,2))</f>
        <v>0</v>
      </c>
      <c r="BJ203" s="1348"/>
      <c r="BK203" s="1379"/>
      <c r="BL203" s="1380"/>
      <c r="BM203" s="104"/>
      <c r="BN203" s="104"/>
      <c r="BO203" s="104"/>
    </row>
    <row r="204" spans="1:67" s="104" customFormat="1" ht="15" customHeight="1" thickBot="1">
      <c r="A204" s="1445">
        <f>AK2-2</f>
        <v>2021</v>
      </c>
      <c r="B204" s="1445"/>
      <c r="C204" s="1445"/>
      <c r="D204" s="1445"/>
      <c r="E204" s="1445"/>
      <c r="F204" s="1441">
        <f>DATE($A204,AL$195,1)</f>
        <v>44287</v>
      </c>
      <c r="G204" s="1349"/>
      <c r="H204" s="1349">
        <f>DATE($A204,AN$195,1)</f>
        <v>44317</v>
      </c>
      <c r="I204" s="1349"/>
      <c r="J204" s="1349">
        <f>DATE($A204,AP$195,1)</f>
        <v>44348</v>
      </c>
      <c r="K204" s="1349"/>
      <c r="L204" s="1349">
        <f>DATE($A204,AR$195,1)</f>
        <v>44378</v>
      </c>
      <c r="M204" s="1349"/>
      <c r="N204" s="1349">
        <f>DATE($A204,AU$195,1)</f>
        <v>44409</v>
      </c>
      <c r="O204" s="1349"/>
      <c r="P204" s="1349">
        <f>DATE($A204,AW$195,1)</f>
        <v>44440</v>
      </c>
      <c r="Q204" s="1349"/>
      <c r="R204" s="1349">
        <f>DATE($A204,AY$195,1)</f>
        <v>44470</v>
      </c>
      <c r="S204" s="1349"/>
      <c r="T204" s="1349">
        <f>DATE($A204,BA$195,1)</f>
        <v>44501</v>
      </c>
      <c r="U204" s="1349"/>
      <c r="V204" s="1349">
        <f>DATE($A204,BC$195,1)</f>
        <v>44531</v>
      </c>
      <c r="W204" s="1349"/>
      <c r="X204" s="1349">
        <f>DATE($A204+1,BE$195,1)</f>
        <v>44562</v>
      </c>
      <c r="Y204" s="1349"/>
      <c r="Z204" s="1349">
        <f>DATE($A204+1,BG$195,1)</f>
        <v>44593</v>
      </c>
      <c r="AA204" s="1349"/>
      <c r="AB204" s="1349">
        <f>DATE($A204+1,BI$195,1)</f>
        <v>44621</v>
      </c>
      <c r="AC204" s="1365"/>
      <c r="AD204" s="1344" t="s">
        <v>1</v>
      </c>
      <c r="AE204" s="1344"/>
      <c r="AF204" s="1344" t="s">
        <v>61</v>
      </c>
      <c r="AG204" s="1344"/>
      <c r="AH204" s="95"/>
      <c r="AI204" s="92"/>
      <c r="AJ204" s="95"/>
      <c r="AK204" s="95"/>
      <c r="AL204" s="95"/>
      <c r="AM204" s="95"/>
      <c r="AN204" s="95"/>
      <c r="AO204" s="95"/>
      <c r="AP204" s="95"/>
      <c r="AQ204" s="95"/>
      <c r="AR204" s="95"/>
      <c r="AS204" s="95"/>
      <c r="AT204" s="95"/>
      <c r="AU204" s="95"/>
      <c r="AV204" s="95"/>
      <c r="AW204" s="95"/>
      <c r="AX204" s="95"/>
      <c r="AY204" s="95"/>
      <c r="AZ204" s="95"/>
      <c r="BA204" s="95"/>
      <c r="BB204" s="95"/>
      <c r="BC204" s="95"/>
      <c r="BD204" s="95"/>
      <c r="BE204" s="95"/>
      <c r="BF204" s="95"/>
      <c r="BG204" s="95"/>
      <c r="BH204" s="95"/>
      <c r="BI204" s="95"/>
      <c r="BJ204" s="95"/>
      <c r="BK204" s="90"/>
      <c r="BL204" s="90"/>
      <c r="BM204" s="95"/>
      <c r="BN204" s="95"/>
      <c r="BO204" s="95"/>
    </row>
    <row r="205" spans="1:67" ht="15" customHeight="1">
      <c r="A205" s="1435" t="s">
        <v>62</v>
      </c>
      <c r="B205" s="1436"/>
      <c r="C205" s="1436"/>
      <c r="D205" s="1436"/>
      <c r="E205" s="1437"/>
      <c r="F205" s="1438"/>
      <c r="G205" s="1383"/>
      <c r="H205" s="1383"/>
      <c r="I205" s="1383"/>
      <c r="J205" s="1383"/>
      <c r="K205" s="1383"/>
      <c r="L205" s="1383"/>
      <c r="M205" s="1383"/>
      <c r="N205" s="1383"/>
      <c r="O205" s="1383"/>
      <c r="P205" s="1383"/>
      <c r="Q205" s="1383"/>
      <c r="R205" s="1383"/>
      <c r="S205" s="1383"/>
      <c r="T205" s="1383"/>
      <c r="U205" s="1383"/>
      <c r="V205" s="1383"/>
      <c r="W205" s="1383"/>
      <c r="X205" s="1383"/>
      <c r="Y205" s="1383"/>
      <c r="Z205" s="1383"/>
      <c r="AA205" s="1383"/>
      <c r="AB205" s="1383"/>
      <c r="AC205" s="1384"/>
      <c r="AD205" s="1382">
        <f>SUM(AL205:BJ205)</f>
        <v>0</v>
      </c>
      <c r="AE205" s="1382"/>
      <c r="AF205" s="1431">
        <f>IFERROR(ROUNDDOWN(AD205/AD206,2),0)</f>
        <v>0</v>
      </c>
      <c r="AG205" s="1432"/>
      <c r="AH205" s="95"/>
      <c r="AI205" s="1386" t="b">
        <f>AF205&gt;=120%</f>
        <v>0</v>
      </c>
      <c r="AJ205" s="153" t="b">
        <f>COUNTIF(AL205:BJ205,"×")&gt;0</f>
        <v>1</v>
      </c>
      <c r="AK205" s="154" t="s">
        <v>664</v>
      </c>
      <c r="AL205" s="1336" t="str">
        <f>IF(F204&gt;=$AI$194,IF(F205="","×",F205),"△")</f>
        <v>×</v>
      </c>
      <c r="AM205" s="1336"/>
      <c r="AN205" s="1336" t="str">
        <f>IF(H204&gt;=$AI$194,IF(H205="","×",H205),"△")</f>
        <v>×</v>
      </c>
      <c r="AO205" s="1336"/>
      <c r="AP205" s="1336" t="str">
        <f>IF(J204&gt;=$AI$194,IF(J205="","×",J205),"△")</f>
        <v>×</v>
      </c>
      <c r="AQ205" s="1336"/>
      <c r="AR205" s="1336" t="str">
        <f>IF(L204&gt;=$AI$194,IF(L205="","×",L205),"△")</f>
        <v>×</v>
      </c>
      <c r="AS205" s="1336"/>
      <c r="AT205" s="1153"/>
      <c r="AU205" s="1336" t="str">
        <f>IF(N204&gt;=$AI$194,IF(N205="","×",N205),"△")</f>
        <v>×</v>
      </c>
      <c r="AV205" s="1336"/>
      <c r="AW205" s="1336" t="str">
        <f>IF(P204&gt;=$AI$194,IF(P205="","×",P205),"△")</f>
        <v>×</v>
      </c>
      <c r="AX205" s="1336"/>
      <c r="AY205" s="1336" t="str">
        <f>IF(R204&gt;=$AI$194,IF(R205="","×",R205),"△")</f>
        <v>×</v>
      </c>
      <c r="AZ205" s="1336"/>
      <c r="BA205" s="1336" t="str">
        <f>IF(T204&gt;=$AI$194,IF(T205="","×",T205),"△")</f>
        <v>×</v>
      </c>
      <c r="BB205" s="1336"/>
      <c r="BC205" s="1336" t="str">
        <f>IF(V204&gt;=$AI$194,IF(V205="","×",V205),"△")</f>
        <v>×</v>
      </c>
      <c r="BD205" s="1336"/>
      <c r="BE205" s="1336" t="str">
        <f>IF(X204&gt;=$AI$194,IF(X205="","×",X205),"△")</f>
        <v>×</v>
      </c>
      <c r="BF205" s="1336"/>
      <c r="BG205" s="1336" t="str">
        <f>IF(Z204&gt;=$AI$194,IF(Z205="","×",Z205),"△")</f>
        <v>×</v>
      </c>
      <c r="BH205" s="1336"/>
      <c r="BI205" s="1336" t="str">
        <f>IF(AB204&gt;=$AI$194,IF(AB205="","×",AB205),"△")</f>
        <v>×</v>
      </c>
      <c r="BJ205" s="1336"/>
      <c r="BK205" s="1363"/>
      <c r="BL205" s="1364"/>
    </row>
    <row r="206" spans="1:67" ht="15" customHeight="1" thickBot="1">
      <c r="A206" s="1442" t="s">
        <v>63</v>
      </c>
      <c r="B206" s="1442"/>
      <c r="C206" s="1442"/>
      <c r="D206" s="1442"/>
      <c r="E206" s="1442"/>
      <c r="F206" s="1408">
        <f>IF(F204=$AI$194,SUM($R$14:$S$15),AB203)</f>
        <v>0</v>
      </c>
      <c r="G206" s="1345"/>
      <c r="H206" s="1345">
        <f>IF(H204&gt;=$AI$194,SUM($R$14:$S$15),"")</f>
        <v>0</v>
      </c>
      <c r="I206" s="1345"/>
      <c r="J206" s="1345">
        <f>IF(J204&gt;=$AI$194,SUM($R$14:$S$15),"")</f>
        <v>0</v>
      </c>
      <c r="K206" s="1345"/>
      <c r="L206" s="1345">
        <f>IF(L204&gt;=$AI$194,SUM($R$14:$S$15),"")</f>
        <v>0</v>
      </c>
      <c r="M206" s="1345"/>
      <c r="N206" s="1345">
        <f>IF(N204&gt;=$AI$194,SUM($R$14:$S$15),"")</f>
        <v>0</v>
      </c>
      <c r="O206" s="1345"/>
      <c r="P206" s="1345">
        <f>IF(P204&gt;=$AI$194,SUM($R$14:$S$15),"")</f>
        <v>0</v>
      </c>
      <c r="Q206" s="1345"/>
      <c r="R206" s="1345">
        <f>IF(R204&gt;=$AI$194,SUM($R$14:$S$15),"")</f>
        <v>0</v>
      </c>
      <c r="S206" s="1345"/>
      <c r="T206" s="1345">
        <f>IF(T204&gt;=$AI$194,SUM($R$14:$S$15),"")</f>
        <v>0</v>
      </c>
      <c r="U206" s="1345"/>
      <c r="V206" s="1345">
        <f>IF(V204&gt;=$AI$194,SUM($R$14:$S$15),"")</f>
        <v>0</v>
      </c>
      <c r="W206" s="1345"/>
      <c r="X206" s="1345">
        <f>IF(X204&gt;=$AI$194,SUM($R$14:$S$15),"")</f>
        <v>0</v>
      </c>
      <c r="Y206" s="1345"/>
      <c r="Z206" s="1345">
        <f>IF(Z204&gt;=$AI$194,SUM($R$14:$S$15),"")</f>
        <v>0</v>
      </c>
      <c r="AA206" s="1345"/>
      <c r="AB206" s="1345">
        <f>IF(AB204&gt;=$AI$194,SUM($R$14:$S$15),"")</f>
        <v>0</v>
      </c>
      <c r="AC206" s="1385"/>
      <c r="AD206" s="1359">
        <f>SUM(F206:AC206)</f>
        <v>0</v>
      </c>
      <c r="AE206" s="1359"/>
      <c r="AF206" s="1433"/>
      <c r="AG206" s="1434"/>
      <c r="AH206" s="95"/>
      <c r="AI206" s="1387"/>
      <c r="AJ206" s="155" t="b">
        <f>AND(COUNTIF(AL206:BJ206,1)&gt;=1,COUNTIF(AL206:BJ206,2)=0)</f>
        <v>0</v>
      </c>
      <c r="AK206" s="156" t="s">
        <v>665</v>
      </c>
      <c r="AL206" s="1381">
        <f>IF(OR(AL205="×",AL205="△"),0,IF(F205&gt;F206,1,2))</f>
        <v>0</v>
      </c>
      <c r="AM206" s="1381"/>
      <c r="AN206" s="1347">
        <f>IF(OR(AN205="×",AN205="△"),0,IF(H205&gt;H206,1,2))</f>
        <v>0</v>
      </c>
      <c r="AO206" s="1348"/>
      <c r="AP206" s="1347">
        <f>IF(OR(AP205="×",AP205="△"),0,IF(J205&gt;J206,1,2))</f>
        <v>0</v>
      </c>
      <c r="AQ206" s="1348"/>
      <c r="AR206" s="1347">
        <f>IF(OR(AR205="×",AR205="△"),0,IF(L205&gt;L206,1,2))</f>
        <v>0</v>
      </c>
      <c r="AS206" s="1348"/>
      <c r="AT206" s="1165"/>
      <c r="AU206" s="1347">
        <f>IF(OR(AU205="×",AU205="△"),0,IF(N205&gt;N206,1,2))</f>
        <v>0</v>
      </c>
      <c r="AV206" s="1348"/>
      <c r="AW206" s="1347">
        <f>IF(OR(AW205="×",AW205="△"),0,IF(P205&gt;P206,1,2))</f>
        <v>0</v>
      </c>
      <c r="AX206" s="1348"/>
      <c r="AY206" s="1347">
        <f>IF(OR(AY205="×",AY205="△"),0,IF(R205&gt;R206,1,2))</f>
        <v>0</v>
      </c>
      <c r="AZ206" s="1348"/>
      <c r="BA206" s="1347">
        <f>IF(OR(BA205="×",BA205="△"),0,IF(T205&gt;T206,1,2))</f>
        <v>0</v>
      </c>
      <c r="BB206" s="1348"/>
      <c r="BC206" s="1347">
        <f>IF(OR(BC205="×",BC205="△"),0,IF(V205&gt;V206,1,2))</f>
        <v>0</v>
      </c>
      <c r="BD206" s="1348"/>
      <c r="BE206" s="1347">
        <f>IF(OR(BE205="×",BE205="△"),0,IF(X205&gt;X206,1,2))</f>
        <v>0</v>
      </c>
      <c r="BF206" s="1348"/>
      <c r="BG206" s="1347">
        <f>IF(OR(BG205="×",BG205="△"),0,IF(Z205&gt;Z206,1,2))</f>
        <v>0</v>
      </c>
      <c r="BH206" s="1348"/>
      <c r="BI206" s="1347">
        <f>IF(OR(BI205="×",BI205="△"),0,IF(AB205&gt;AB206,1,2))</f>
        <v>0</v>
      </c>
      <c r="BJ206" s="1348"/>
      <c r="BK206" s="1379"/>
      <c r="BL206" s="1380"/>
      <c r="BM206" s="104"/>
      <c r="BN206" s="104"/>
      <c r="BO206" s="104"/>
    </row>
    <row r="207" spans="1:67" s="104" customFormat="1" ht="15" customHeight="1" thickBot="1">
      <c r="A207" s="1445">
        <f>AK2-1</f>
        <v>2022</v>
      </c>
      <c r="B207" s="1445"/>
      <c r="C207" s="1445"/>
      <c r="D207" s="1445"/>
      <c r="E207" s="1445"/>
      <c r="F207" s="1441">
        <f>DATE($A207,AL$195,1)</f>
        <v>44652</v>
      </c>
      <c r="G207" s="1349"/>
      <c r="H207" s="1349">
        <f>DATE($A207,AN$195,1)</f>
        <v>44682</v>
      </c>
      <c r="I207" s="1349"/>
      <c r="J207" s="1349">
        <f>DATE($A207,AP$195,1)</f>
        <v>44713</v>
      </c>
      <c r="K207" s="1349"/>
      <c r="L207" s="1349">
        <f>DATE($A207,AR$195,1)</f>
        <v>44743</v>
      </c>
      <c r="M207" s="1349"/>
      <c r="N207" s="1349">
        <f>DATE($A207,AU$195,1)</f>
        <v>44774</v>
      </c>
      <c r="O207" s="1349"/>
      <c r="P207" s="1349">
        <f>DATE($A207,AW$195,1)</f>
        <v>44805</v>
      </c>
      <c r="Q207" s="1349"/>
      <c r="R207" s="1349">
        <f>DATE($A207,AY$195,1)</f>
        <v>44835</v>
      </c>
      <c r="S207" s="1349"/>
      <c r="T207" s="1349">
        <f>DATE($A207,BA$195,1)</f>
        <v>44866</v>
      </c>
      <c r="U207" s="1349"/>
      <c r="V207" s="1349">
        <f>DATE($A207,BC$195,1)</f>
        <v>44896</v>
      </c>
      <c r="W207" s="1349"/>
      <c r="X207" s="1349">
        <f>DATE($A207+1,BE$195,1)</f>
        <v>44927</v>
      </c>
      <c r="Y207" s="1349"/>
      <c r="Z207" s="1349">
        <f>DATE($A207+1,BG$195,1)</f>
        <v>44958</v>
      </c>
      <c r="AA207" s="1349"/>
      <c r="AB207" s="1349">
        <f>DATE($A207+1,BI$195,1)</f>
        <v>44986</v>
      </c>
      <c r="AC207" s="1365"/>
      <c r="AD207" s="1344" t="s">
        <v>1</v>
      </c>
      <c r="AE207" s="1344"/>
      <c r="AF207" s="1344" t="s">
        <v>61</v>
      </c>
      <c r="AG207" s="1344"/>
      <c r="AH207" s="95"/>
      <c r="AI207" s="92"/>
      <c r="AJ207" s="95"/>
      <c r="AK207" s="95"/>
      <c r="AL207" s="95"/>
      <c r="AM207" s="95"/>
      <c r="AN207" s="95"/>
      <c r="AO207" s="95"/>
      <c r="AP207" s="95"/>
      <c r="AQ207" s="95"/>
      <c r="AR207" s="95"/>
      <c r="AS207" s="95"/>
      <c r="AT207" s="95"/>
      <c r="AU207" s="95"/>
      <c r="AV207" s="95"/>
      <c r="AW207" s="95"/>
      <c r="AX207" s="95"/>
      <c r="AY207" s="95"/>
      <c r="AZ207" s="95"/>
      <c r="BA207" s="95"/>
      <c r="BB207" s="95"/>
      <c r="BC207" s="95"/>
      <c r="BD207" s="95"/>
      <c r="BE207" s="95"/>
      <c r="BF207" s="95"/>
      <c r="BG207" s="95"/>
      <c r="BH207" s="95"/>
      <c r="BI207" s="95"/>
      <c r="BJ207" s="95"/>
      <c r="BK207" s="90"/>
      <c r="BL207" s="90"/>
      <c r="BM207" s="95"/>
      <c r="BN207" s="95"/>
      <c r="BO207" s="95"/>
    </row>
    <row r="208" spans="1:67" ht="15" customHeight="1">
      <c r="A208" s="1435" t="s">
        <v>62</v>
      </c>
      <c r="B208" s="1436"/>
      <c r="C208" s="1436"/>
      <c r="D208" s="1436"/>
      <c r="E208" s="1437"/>
      <c r="F208" s="1438"/>
      <c r="G208" s="1383"/>
      <c r="H208" s="1383"/>
      <c r="I208" s="1383"/>
      <c r="J208" s="1383"/>
      <c r="K208" s="1383"/>
      <c r="L208" s="1383"/>
      <c r="M208" s="1383"/>
      <c r="N208" s="1383"/>
      <c r="O208" s="1383"/>
      <c r="P208" s="1383"/>
      <c r="Q208" s="1383"/>
      <c r="R208" s="1383"/>
      <c r="S208" s="1383"/>
      <c r="T208" s="1383"/>
      <c r="U208" s="1383"/>
      <c r="V208" s="1383"/>
      <c r="W208" s="1383"/>
      <c r="X208" s="1383"/>
      <c r="Y208" s="1383"/>
      <c r="Z208" s="1383"/>
      <c r="AA208" s="1383"/>
      <c r="AB208" s="1383"/>
      <c r="AC208" s="1384"/>
      <c r="AD208" s="1382">
        <f>SUM(AL208:BJ208)</f>
        <v>0</v>
      </c>
      <c r="AE208" s="1382"/>
      <c r="AF208" s="1431">
        <f>IFERROR(ROUNDDOWN(AD208/AD209,2),0)</f>
        <v>0</v>
      </c>
      <c r="AG208" s="1432"/>
      <c r="AH208" s="95"/>
      <c r="AI208" s="1386" t="b">
        <f>AF208&gt;=120%</f>
        <v>0</v>
      </c>
      <c r="AJ208" s="153" t="b">
        <f>COUNTIF(AL208:BJ208,"×")&gt;0</f>
        <v>1</v>
      </c>
      <c r="AK208" s="154" t="s">
        <v>664</v>
      </c>
      <c r="AL208" s="1336" t="str">
        <f>IF(F207&gt;=$AI$194,IF(F208="","×",F208),"△")</f>
        <v>×</v>
      </c>
      <c r="AM208" s="1336"/>
      <c r="AN208" s="1336" t="str">
        <f>IF(H207&gt;=$AI$194,IF(H208="","×",H208),"△")</f>
        <v>×</v>
      </c>
      <c r="AO208" s="1336"/>
      <c r="AP208" s="1336" t="str">
        <f>IF(J207&gt;=$AI$194,IF(J208="","×",J208),"△")</f>
        <v>×</v>
      </c>
      <c r="AQ208" s="1336"/>
      <c r="AR208" s="1336" t="str">
        <f>IF(L207&gt;=$AI$194,IF(L208="","×",L208),"△")</f>
        <v>×</v>
      </c>
      <c r="AS208" s="1336"/>
      <c r="AT208" s="1153"/>
      <c r="AU208" s="1336" t="str">
        <f>IF(N207&gt;=$AI$194,IF(N208="","×",N208),"△")</f>
        <v>×</v>
      </c>
      <c r="AV208" s="1336"/>
      <c r="AW208" s="1336" t="str">
        <f>IF(P207&gt;=$AI$194,IF(P208="","×",P208),"△")</f>
        <v>×</v>
      </c>
      <c r="AX208" s="1336"/>
      <c r="AY208" s="1336" t="str">
        <f>IF(R207&gt;=$AI$194,IF(R208="","×",R208),"△")</f>
        <v>×</v>
      </c>
      <c r="AZ208" s="1336"/>
      <c r="BA208" s="1336" t="str">
        <f>IF(T207&gt;=$AI$194,IF(T208="","×",T208),"△")</f>
        <v>×</v>
      </c>
      <c r="BB208" s="1336"/>
      <c r="BC208" s="1336" t="str">
        <f>IF(V207&gt;=$AI$194,IF(V208="","×",V208),"△")</f>
        <v>×</v>
      </c>
      <c r="BD208" s="1336"/>
      <c r="BE208" s="1336" t="str">
        <f>IF(X207&gt;=$AI$194,IF(X208="","×",X208),"△")</f>
        <v>×</v>
      </c>
      <c r="BF208" s="1336"/>
      <c r="BG208" s="1336" t="str">
        <f>IF(Z207&gt;=$AI$194,IF(Z208="","×",Z208),"△")</f>
        <v>×</v>
      </c>
      <c r="BH208" s="1336"/>
      <c r="BI208" s="1336" t="str">
        <f>IF(AB207&gt;=$AI$194,IF(AB208="","×",AB208),"△")</f>
        <v>×</v>
      </c>
      <c r="BJ208" s="1336"/>
      <c r="BK208" s="1363"/>
      <c r="BL208" s="1364"/>
    </row>
    <row r="209" spans="1:67" ht="15" customHeight="1" thickBot="1">
      <c r="A209" s="1442" t="s">
        <v>63</v>
      </c>
      <c r="B209" s="1442"/>
      <c r="C209" s="1442"/>
      <c r="D209" s="1442"/>
      <c r="E209" s="1442"/>
      <c r="F209" s="1408">
        <f>IF(F207=$AI$194,SUM($R$14:$S$15),AB206)</f>
        <v>0</v>
      </c>
      <c r="G209" s="1345"/>
      <c r="H209" s="1345">
        <f>IF(H207&gt;=$AI$194,SUM($R$14:$S$15),"")</f>
        <v>0</v>
      </c>
      <c r="I209" s="1345"/>
      <c r="J209" s="1345">
        <f>IF(J207&gt;=$AI$194,SUM($R$14:$S$15),"")</f>
        <v>0</v>
      </c>
      <c r="K209" s="1345"/>
      <c r="L209" s="1345">
        <f>IF(L207&gt;=$AI$194,SUM($R$14:$S$15),"")</f>
        <v>0</v>
      </c>
      <c r="M209" s="1345"/>
      <c r="N209" s="1345">
        <f>IF(N207&gt;=$AI$194,SUM($R$14:$S$15),"")</f>
        <v>0</v>
      </c>
      <c r="O209" s="1345"/>
      <c r="P209" s="1345">
        <f>IF(P207&gt;=$AI$194,SUM($R$14:$S$15),"")</f>
        <v>0</v>
      </c>
      <c r="Q209" s="1345"/>
      <c r="R209" s="1345">
        <f>IF(R207&gt;=$AI$194,SUM($R$14:$S$15),"")</f>
        <v>0</v>
      </c>
      <c r="S209" s="1345"/>
      <c r="T209" s="1345">
        <f>IF(T207&gt;=$AI$194,SUM($R$14:$S$15),"")</f>
        <v>0</v>
      </c>
      <c r="U209" s="1345"/>
      <c r="V209" s="1345">
        <f>IF(V207&gt;=$AI$194,SUM($R$14:$S$15),"")</f>
        <v>0</v>
      </c>
      <c r="W209" s="1345"/>
      <c r="X209" s="1345">
        <f>IF(X207&gt;=$AI$194,SUM($R$14:$S$15),"")</f>
        <v>0</v>
      </c>
      <c r="Y209" s="1345"/>
      <c r="Z209" s="1345">
        <f>IF(Z207&gt;=$AI$194,SUM($R$14:$S$15),"")</f>
        <v>0</v>
      </c>
      <c r="AA209" s="1345"/>
      <c r="AB209" s="1345">
        <f>IF(AB207&gt;=$AI$194,SUM($R$14:$S$15),"")</f>
        <v>0</v>
      </c>
      <c r="AC209" s="1385"/>
      <c r="AD209" s="1359">
        <f>SUM(F209:AC209)</f>
        <v>0</v>
      </c>
      <c r="AE209" s="1359"/>
      <c r="AF209" s="1433"/>
      <c r="AG209" s="1434"/>
      <c r="AH209" s="95"/>
      <c r="AI209" s="1387"/>
      <c r="AJ209" s="155" t="b">
        <f>AND(COUNTIF(AL209:BJ209,1)&gt;=1,COUNTIF(AL209:BJ209,2)=0)</f>
        <v>0</v>
      </c>
      <c r="AK209" s="156" t="s">
        <v>665</v>
      </c>
      <c r="AL209" s="1381">
        <f>IF(OR(AL208="×",AL208="△"),0,IF(F208&gt;F209,1,2))</f>
        <v>0</v>
      </c>
      <c r="AM209" s="1381"/>
      <c r="AN209" s="1347">
        <f>IF(OR(AN208="×",AN208="△"),0,IF(H208&gt;H209,1,2))</f>
        <v>0</v>
      </c>
      <c r="AO209" s="1348"/>
      <c r="AP209" s="1347">
        <f>IF(OR(AP208="×",AP208="△"),0,IF(J208&gt;J209,1,2))</f>
        <v>0</v>
      </c>
      <c r="AQ209" s="1348"/>
      <c r="AR209" s="1347">
        <f>IF(OR(AR208="×",AR208="△"),0,IF(L208&gt;L209,1,2))</f>
        <v>0</v>
      </c>
      <c r="AS209" s="1348"/>
      <c r="AT209" s="1165"/>
      <c r="AU209" s="1347">
        <f>IF(OR(AU208="×",AU208="△"),0,IF(N208&gt;N209,1,2))</f>
        <v>0</v>
      </c>
      <c r="AV209" s="1348"/>
      <c r="AW209" s="1347">
        <f>IF(OR(AW208="×",AW208="△"),0,IF(P208&gt;P209,1,2))</f>
        <v>0</v>
      </c>
      <c r="AX209" s="1348"/>
      <c r="AY209" s="1347">
        <f>IF(OR(AY208="×",AY208="△"),0,IF(R208&gt;R209,1,2))</f>
        <v>0</v>
      </c>
      <c r="AZ209" s="1348"/>
      <c r="BA209" s="1347">
        <f>IF(OR(BA208="×",BA208="△"),0,IF(T208&gt;T209,1,2))</f>
        <v>0</v>
      </c>
      <c r="BB209" s="1348"/>
      <c r="BC209" s="1347">
        <f>IF(OR(BC208="×",BC208="△"),0,IF(V208&gt;V209,1,2))</f>
        <v>0</v>
      </c>
      <c r="BD209" s="1348"/>
      <c r="BE209" s="1347">
        <f>IF(OR(BE208="×",BE208="△"),0,IF(X208&gt;X209,1,2))</f>
        <v>0</v>
      </c>
      <c r="BF209" s="1348"/>
      <c r="BG209" s="1347">
        <f>IF(OR(BG208="×",BG208="△"),0,IF(Z208&gt;Z209,1,2))</f>
        <v>0</v>
      </c>
      <c r="BH209" s="1348"/>
      <c r="BI209" s="1347">
        <f>IF(OR(BI208="×",BI208="△"),0,IF(AB208&gt;AB209,1,2))</f>
        <v>0</v>
      </c>
      <c r="BJ209" s="1348"/>
      <c r="BK209" s="1379"/>
      <c r="BL209" s="1380"/>
      <c r="BM209" s="104"/>
      <c r="BN209" s="104"/>
      <c r="BO209" s="104"/>
    </row>
    <row r="210" spans="1:67" s="104" customFormat="1" ht="15" customHeight="1">
      <c r="A210" s="1794" t="s">
        <v>464</v>
      </c>
      <c r="B210" s="1794"/>
      <c r="C210" s="1794"/>
      <c r="D210" s="1794"/>
      <c r="E210" s="1794"/>
      <c r="F210" s="1794"/>
      <c r="G210" s="1794"/>
      <c r="H210" s="1794"/>
      <c r="I210" s="1794"/>
      <c r="J210" s="1794"/>
      <c r="K210" s="1794"/>
      <c r="L210" s="1794"/>
      <c r="M210" s="1794"/>
      <c r="N210" s="1794"/>
      <c r="O210" s="1794"/>
      <c r="P210" s="1794"/>
      <c r="Q210" s="1794"/>
      <c r="R210" s="1794"/>
      <c r="S210" s="1794"/>
      <c r="T210" s="1794"/>
      <c r="U210" s="1794"/>
      <c r="V210" s="1794"/>
      <c r="W210" s="1794"/>
      <c r="X210" s="1794"/>
      <c r="Y210" s="1794"/>
      <c r="Z210" s="1794"/>
      <c r="AA210" s="1794"/>
      <c r="AB210" s="1794"/>
      <c r="AC210" s="1794"/>
      <c r="AD210" s="1794"/>
      <c r="AE210" s="1794"/>
      <c r="AF210" s="1794"/>
      <c r="AG210" s="1794"/>
      <c r="AI210" s="188"/>
      <c r="AN210" s="95"/>
      <c r="AO210" s="95"/>
      <c r="AP210" s="95"/>
      <c r="AQ210" s="95"/>
      <c r="AR210" s="95"/>
      <c r="AS210" s="95"/>
      <c r="AT210" s="95"/>
      <c r="AU210" s="95"/>
      <c r="AV210" s="95"/>
      <c r="AW210" s="95"/>
      <c r="AX210" s="95"/>
      <c r="AY210" s="95"/>
      <c r="AZ210" s="95"/>
      <c r="BA210" s="95"/>
      <c r="BB210" s="95"/>
      <c r="BC210" s="95"/>
      <c r="BD210" s="95"/>
      <c r="BE210" s="95"/>
      <c r="BF210" s="95"/>
      <c r="BG210" s="95"/>
      <c r="BH210" s="95"/>
      <c r="BI210" s="95"/>
      <c r="BJ210" s="95"/>
      <c r="BK210" s="95"/>
      <c r="BL210" s="95"/>
      <c r="BM210" s="95"/>
      <c r="BN210" s="95"/>
      <c r="BO210" s="95"/>
    </row>
    <row r="211" spans="1:67" ht="15" customHeight="1">
      <c r="A211" s="1411" t="s">
        <v>465</v>
      </c>
      <c r="B211" s="1412"/>
      <c r="C211" s="1412"/>
      <c r="D211" s="1412"/>
      <c r="E211" s="1412"/>
      <c r="F211" s="1377" t="s">
        <v>99</v>
      </c>
      <c r="G211" s="1377"/>
      <c r="H211" s="1377"/>
      <c r="I211" s="1377"/>
      <c r="J211" s="1377"/>
      <c r="K211" s="1377"/>
      <c r="L211" s="1377"/>
      <c r="M211" s="1377"/>
      <c r="N211" s="1377"/>
      <c r="O211" s="1377"/>
      <c r="P211" s="1377"/>
      <c r="Q211" s="1377"/>
      <c r="R211" s="1377"/>
      <c r="S211" s="1377"/>
      <c r="T211" s="1377"/>
      <c r="U211" s="1377"/>
      <c r="V211" s="1377"/>
      <c r="W211" s="1377"/>
      <c r="X211" s="1377"/>
      <c r="Y211" s="1377"/>
      <c r="Z211" s="1377"/>
      <c r="AA211" s="1377"/>
      <c r="AB211" s="1377"/>
      <c r="AC211" s="1378"/>
      <c r="AD211" s="1399" t="s">
        <v>210</v>
      </c>
      <c r="AE211" s="1399"/>
      <c r="AF211" s="1399"/>
      <c r="AG211" s="1399"/>
      <c r="AI211" s="188"/>
      <c r="AJ211" s="104"/>
      <c r="AK211" s="104"/>
      <c r="AL211" s="104"/>
      <c r="AM211" s="104"/>
    </row>
    <row r="212" spans="1:67" ht="15" customHeight="1">
      <c r="A212" s="1414"/>
      <c r="B212" s="1415"/>
      <c r="C212" s="1415"/>
      <c r="D212" s="1415"/>
      <c r="E212" s="1415"/>
      <c r="F212" s="927">
        <v>1</v>
      </c>
      <c r="G212" s="1425" t="s">
        <v>1024</v>
      </c>
      <c r="H212" s="1425"/>
      <c r="I212" s="1425"/>
      <c r="J212" s="1425"/>
      <c r="K212" s="1425"/>
      <c r="L212" s="1425"/>
      <c r="M212" s="1425"/>
      <c r="N212" s="1425"/>
      <c r="O212" s="1425"/>
      <c r="P212" s="1425"/>
      <c r="Q212" s="1425"/>
      <c r="R212" s="1425"/>
      <c r="S212" s="1425"/>
      <c r="T212" s="1425"/>
      <c r="U212" s="1425"/>
      <c r="V212" s="1425"/>
      <c r="W212" s="1425"/>
      <c r="X212" s="1425"/>
      <c r="Y212" s="1425"/>
      <c r="Z212" s="1425"/>
      <c r="AA212" s="1425"/>
      <c r="AB212" s="1425"/>
      <c r="AC212" s="1426"/>
      <c r="AD212" s="1411" t="str">
        <f>IF(AI188,IF(AND(S213&lt;&gt;0,X213&lt;&gt;0,AA213&lt;&gt;0,S214&lt;&gt;0,S215&lt;&gt;0,S216="○"),"○","×"),"")</f>
        <v/>
      </c>
      <c r="AE212" s="1412"/>
      <c r="AF212" s="1412"/>
      <c r="AG212" s="1413"/>
      <c r="AI212" s="914" t="b">
        <f>AD212="○"</f>
        <v>0</v>
      </c>
      <c r="AJ212" s="104"/>
      <c r="AK212" s="104"/>
      <c r="AL212" s="104"/>
      <c r="AM212" s="104"/>
    </row>
    <row r="213" spans="1:67" ht="15" customHeight="1">
      <c r="A213" s="1414"/>
      <c r="B213" s="1415"/>
      <c r="C213" s="1415"/>
      <c r="D213" s="1415"/>
      <c r="E213" s="1415"/>
      <c r="F213" s="721"/>
      <c r="G213" s="1803" t="s">
        <v>848</v>
      </c>
      <c r="H213" s="1803"/>
      <c r="I213" s="1803"/>
      <c r="J213" s="1803"/>
      <c r="K213" s="1803"/>
      <c r="L213" s="1803"/>
      <c r="M213" s="1803"/>
      <c r="N213" s="1803"/>
      <c r="O213" s="1803"/>
      <c r="P213" s="1803"/>
      <c r="Q213" s="1803"/>
      <c r="R213" s="1803"/>
      <c r="S213" s="1717"/>
      <c r="T213" s="1717"/>
      <c r="U213" s="1717"/>
      <c r="V213" s="1717"/>
      <c r="W213" s="720" t="s">
        <v>11</v>
      </c>
      <c r="X213" s="1420"/>
      <c r="Y213" s="1420"/>
      <c r="Z213" s="720" t="s">
        <v>185</v>
      </c>
      <c r="AA213" s="1420"/>
      <c r="AB213" s="1420"/>
      <c r="AC213" s="719" t="s">
        <v>849</v>
      </c>
      <c r="AD213" s="1414"/>
      <c r="AE213" s="1415"/>
      <c r="AF213" s="1415"/>
      <c r="AG213" s="1416"/>
      <c r="AI213" s="397">
        <f>IF(AA213=1,DATE(S213,X213,AA213),DATE(S213,X213+1,1))</f>
        <v>1</v>
      </c>
      <c r="AJ213" s="104"/>
      <c r="AK213" s="104"/>
      <c r="AL213" s="104"/>
      <c r="AM213" s="104"/>
    </row>
    <row r="214" spans="1:67" ht="15" customHeight="1">
      <c r="A214" s="1414"/>
      <c r="B214" s="1415"/>
      <c r="C214" s="1415"/>
      <c r="D214" s="1415"/>
      <c r="E214" s="1415"/>
      <c r="F214" s="722"/>
      <c r="G214" s="1393" t="s">
        <v>850</v>
      </c>
      <c r="H214" s="1393"/>
      <c r="I214" s="1393"/>
      <c r="J214" s="1393"/>
      <c r="K214" s="1393"/>
      <c r="L214" s="1393"/>
      <c r="M214" s="1393"/>
      <c r="N214" s="1393"/>
      <c r="O214" s="1393"/>
      <c r="P214" s="1393"/>
      <c r="Q214" s="1393"/>
      <c r="R214" s="1393"/>
      <c r="S214" s="1545"/>
      <c r="T214" s="1545"/>
      <c r="U214" s="1545"/>
      <c r="V214" s="1545"/>
      <c r="W214" s="1545"/>
      <c r="X214" s="1545"/>
      <c r="Y214" s="1545"/>
      <c r="Z214" s="1545"/>
      <c r="AA214" s="1545"/>
      <c r="AB214" s="1545"/>
      <c r="AC214" s="1546"/>
      <c r="AD214" s="1414"/>
      <c r="AE214" s="1415"/>
      <c r="AF214" s="1415"/>
      <c r="AG214" s="1416"/>
      <c r="AI214" s="186"/>
      <c r="AJ214" s="104"/>
      <c r="AK214" s="104"/>
      <c r="AL214" s="104"/>
      <c r="AM214" s="104"/>
    </row>
    <row r="215" spans="1:67" ht="15" customHeight="1">
      <c r="A215" s="1414"/>
      <c r="B215" s="1415"/>
      <c r="C215" s="1415"/>
      <c r="D215" s="1415"/>
      <c r="E215" s="1415"/>
      <c r="F215" s="722"/>
      <c r="G215" s="1707" t="s">
        <v>852</v>
      </c>
      <c r="H215" s="1707"/>
      <c r="I215" s="1707"/>
      <c r="J215" s="1707"/>
      <c r="K215" s="1707"/>
      <c r="L215" s="1707"/>
      <c r="M215" s="1707"/>
      <c r="N215" s="1707"/>
      <c r="O215" s="1707"/>
      <c r="P215" s="1707"/>
      <c r="Q215" s="1707"/>
      <c r="R215" s="1707"/>
      <c r="S215" s="1708"/>
      <c r="T215" s="1708"/>
      <c r="U215" s="1708"/>
      <c r="V215" s="1708"/>
      <c r="W215" s="1708"/>
      <c r="X215" s="1708"/>
      <c r="Y215" s="1708"/>
      <c r="Z215" s="1708"/>
      <c r="AA215" s="1708"/>
      <c r="AB215" s="1708"/>
      <c r="AC215" s="1709"/>
      <c r="AD215" s="1414"/>
      <c r="AE215" s="1415"/>
      <c r="AF215" s="1415"/>
      <c r="AG215" s="1416"/>
      <c r="AI215" s="398"/>
      <c r="AJ215" s="104"/>
      <c r="AK215" s="104"/>
      <c r="AL215" s="104"/>
      <c r="AM215" s="104"/>
    </row>
    <row r="216" spans="1:67" ht="15" customHeight="1">
      <c r="A216" s="1414"/>
      <c r="B216" s="1415"/>
      <c r="C216" s="1415"/>
      <c r="D216" s="1415"/>
      <c r="E216" s="1415"/>
      <c r="F216" s="723"/>
      <c r="G216" s="1700" t="s">
        <v>1022</v>
      </c>
      <c r="H216" s="1700"/>
      <c r="I216" s="1700"/>
      <c r="J216" s="1700"/>
      <c r="K216" s="1700"/>
      <c r="L216" s="1700"/>
      <c r="M216" s="1700"/>
      <c r="N216" s="1700"/>
      <c r="O216" s="1700"/>
      <c r="P216" s="1700"/>
      <c r="Q216" s="1700"/>
      <c r="R216" s="1700"/>
      <c r="S216" s="1714" t="str">
        <f>'(別紙6)定員超過'!D39</f>
        <v>×</v>
      </c>
      <c r="T216" s="1714"/>
      <c r="U216" s="1714"/>
      <c r="V216" s="1714"/>
      <c r="W216" s="1714"/>
      <c r="X216" s="1714"/>
      <c r="Y216" s="1714"/>
      <c r="Z216" s="1714"/>
      <c r="AA216" s="1714"/>
      <c r="AB216" s="1714"/>
      <c r="AC216" s="1715"/>
      <c r="AD216" s="1417"/>
      <c r="AE216" s="1418"/>
      <c r="AF216" s="1418"/>
      <c r="AG216" s="1419"/>
      <c r="AI216" s="398"/>
      <c r="AJ216" s="104"/>
      <c r="AK216" s="104"/>
      <c r="AL216" s="104"/>
      <c r="AM216" s="104"/>
    </row>
    <row r="217" spans="1:67" ht="15" customHeight="1">
      <c r="A217" s="1414"/>
      <c r="B217" s="1415"/>
      <c r="C217" s="1415"/>
      <c r="D217" s="1415"/>
      <c r="E217" s="1415"/>
      <c r="F217" s="1389" t="str">
        <f>IF(AND(AI212,I56=3),"※","")</f>
        <v/>
      </c>
      <c r="G217" s="1425" t="str">
        <f>IF(AND(AI212,I10=3),"実績報告書の提出（3月のみ）","")</f>
        <v/>
      </c>
      <c r="H217" s="1425"/>
      <c r="I217" s="1425"/>
      <c r="J217" s="1425"/>
      <c r="K217" s="1425"/>
      <c r="L217" s="1425"/>
      <c r="M217" s="1425"/>
      <c r="N217" s="1425"/>
      <c r="O217" s="1425"/>
      <c r="P217" s="1425"/>
      <c r="Q217" s="1425"/>
      <c r="R217" s="1425"/>
      <c r="S217" s="1425"/>
      <c r="T217" s="1425"/>
      <c r="U217" s="1425"/>
      <c r="V217" s="1425"/>
      <c r="W217" s="1425"/>
      <c r="X217" s="1425"/>
      <c r="Y217" s="1425"/>
      <c r="Z217" s="1425"/>
      <c r="AA217" s="1425"/>
      <c r="AB217" s="1425"/>
      <c r="AC217" s="1425"/>
      <c r="AD217" s="1710" t="str">
        <f>IF(AND(AI212,I56=3),IF(AND('(別紙6)定員超過'!D76&gt;=1.2,'(別紙6)定員超過'!P75&lt;&gt;0),"×","○"),"")</f>
        <v/>
      </c>
      <c r="AE217" s="1711"/>
      <c r="AF217" s="1711"/>
      <c r="AG217" s="1712"/>
      <c r="AI217" s="914" t="b">
        <f>AD217="×"</f>
        <v>0</v>
      </c>
      <c r="AJ217" s="104"/>
      <c r="AK217" s="104"/>
      <c r="AL217" s="104"/>
      <c r="AM217" s="104"/>
    </row>
    <row r="218" spans="1:67" ht="15" customHeight="1">
      <c r="A218" s="1417"/>
      <c r="B218" s="1418"/>
      <c r="C218" s="1418"/>
      <c r="D218" s="1418"/>
      <c r="E218" s="1418"/>
      <c r="F218" s="1395"/>
      <c r="G218" s="926"/>
      <c r="H218" s="1700" t="str">
        <f>IF(OR(AJ196,AJ199,AJ202,AJ205,AJ208),"エラー",IF(AND(AD217="×",'(別紙6)定員超過'!D76&gt;=1.2,'(別紙6)定員超過'!P75&lt;&gt;0),'(別紙6)定員超過'!B78,IF(AND(AI188,AI212),TEXT(AI213,"YYYY年M月")&amp;"より解除","")))</f>
        <v>エラー</v>
      </c>
      <c r="I218" s="1700"/>
      <c r="J218" s="1700"/>
      <c r="K218" s="1700"/>
      <c r="L218" s="1700"/>
      <c r="M218" s="1700"/>
      <c r="N218" s="1700"/>
      <c r="O218" s="1700"/>
      <c r="P218" s="1700"/>
      <c r="Q218" s="1700"/>
      <c r="R218" s="1700"/>
      <c r="S218" s="1700"/>
      <c r="T218" s="1700"/>
      <c r="U218" s="1700"/>
      <c r="V218" s="1700"/>
      <c r="W218" s="1700"/>
      <c r="X218" s="1700"/>
      <c r="Y218" s="1700"/>
      <c r="Z218" s="1700"/>
      <c r="AA218" s="1700"/>
      <c r="AB218" s="1700"/>
      <c r="AC218" s="1701"/>
      <c r="AD218" s="1713"/>
      <c r="AE218" s="1714"/>
      <c r="AF218" s="1714"/>
      <c r="AG218" s="1715"/>
      <c r="AI218" s="398"/>
      <c r="AJ218" s="104"/>
      <c r="AK218" s="104"/>
      <c r="AL218" s="104"/>
      <c r="AM218" s="104"/>
    </row>
    <row r="219" spans="1:67" ht="15" customHeight="1">
      <c r="A219" s="1389" t="s">
        <v>48</v>
      </c>
      <c r="B219" s="1390"/>
      <c r="C219" s="1390"/>
      <c r="D219" s="1390"/>
      <c r="E219" s="1390"/>
      <c r="F219" s="1751" t="s">
        <v>853</v>
      </c>
      <c r="G219" s="1583"/>
      <c r="H219" s="1583"/>
      <c r="I219" s="1583"/>
      <c r="J219" s="1583"/>
      <c r="K219" s="1583"/>
      <c r="L219" s="1583"/>
      <c r="M219" s="1583"/>
      <c r="N219" s="1583"/>
      <c r="O219" s="1583"/>
      <c r="P219" s="1583"/>
      <c r="Q219" s="1583"/>
      <c r="R219" s="1583"/>
      <c r="S219" s="1583"/>
      <c r="T219" s="1583"/>
      <c r="U219" s="1583"/>
      <c r="V219" s="1583"/>
      <c r="W219" s="1583"/>
      <c r="X219" s="1583"/>
      <c r="Y219" s="1583"/>
      <c r="Z219" s="1583"/>
      <c r="AA219" s="1583"/>
      <c r="AB219" s="1583"/>
      <c r="AC219" s="1583"/>
      <c r="AD219" s="1583"/>
      <c r="AE219" s="1583"/>
      <c r="AF219" s="1583"/>
      <c r="AG219" s="1752"/>
      <c r="AI219" s="398"/>
      <c r="AJ219" s="104"/>
      <c r="AK219" s="104"/>
      <c r="AL219" s="104"/>
      <c r="AM219" s="104"/>
    </row>
    <row r="220" spans="1:67" ht="15" customHeight="1">
      <c r="A220" s="1395"/>
      <c r="B220" s="1396"/>
      <c r="C220" s="1396"/>
      <c r="D220" s="1396"/>
      <c r="E220" s="1396"/>
      <c r="F220" s="1704" t="s">
        <v>854</v>
      </c>
      <c r="G220" s="1705"/>
      <c r="H220" s="1705"/>
      <c r="I220" s="1705"/>
      <c r="J220" s="1705"/>
      <c r="K220" s="1705"/>
      <c r="L220" s="1705"/>
      <c r="M220" s="1705"/>
      <c r="N220" s="1705"/>
      <c r="O220" s="1705"/>
      <c r="P220" s="1705"/>
      <c r="Q220" s="1705"/>
      <c r="R220" s="1705"/>
      <c r="S220" s="1705"/>
      <c r="T220" s="1705"/>
      <c r="U220" s="1705"/>
      <c r="V220" s="1705"/>
      <c r="W220" s="1705"/>
      <c r="X220" s="1705"/>
      <c r="Y220" s="1705"/>
      <c r="Z220" s="1705"/>
      <c r="AA220" s="1705"/>
      <c r="AB220" s="1705"/>
      <c r="AC220" s="1705"/>
      <c r="AD220" s="1705"/>
      <c r="AE220" s="1705"/>
      <c r="AF220" s="1705"/>
      <c r="AG220" s="1706"/>
      <c r="AI220" s="398"/>
      <c r="AJ220" s="104"/>
      <c r="AK220" s="104"/>
      <c r="AL220" s="104"/>
      <c r="AM220" s="104"/>
    </row>
    <row r="221" spans="1:67" ht="15" customHeight="1" thickBot="1">
      <c r="A221" s="917"/>
      <c r="B221" s="917"/>
      <c r="C221" s="917"/>
      <c r="D221" s="917"/>
      <c r="E221" s="917"/>
      <c r="F221" s="917"/>
      <c r="G221" s="917"/>
      <c r="H221" s="917"/>
      <c r="I221" s="917"/>
      <c r="J221" s="917"/>
      <c r="K221" s="917"/>
      <c r="L221" s="917"/>
      <c r="M221" s="917"/>
      <c r="N221" s="917"/>
      <c r="O221" s="917"/>
      <c r="P221" s="917"/>
      <c r="Q221" s="917"/>
      <c r="R221" s="917"/>
      <c r="S221" s="917"/>
      <c r="T221" s="917"/>
      <c r="U221" s="917"/>
      <c r="V221" s="917"/>
      <c r="W221" s="917"/>
      <c r="X221" s="917"/>
      <c r="Y221" s="917"/>
      <c r="Z221" s="917"/>
      <c r="AA221" s="917"/>
      <c r="AB221" s="917"/>
      <c r="AC221" s="917"/>
      <c r="AD221" s="917"/>
      <c r="AE221" s="917"/>
      <c r="AF221" s="601"/>
      <c r="AG221" s="601"/>
      <c r="AN221" s="91"/>
      <c r="AO221" s="91"/>
      <c r="AP221" s="91"/>
      <c r="AQ221" s="91"/>
      <c r="AR221" s="91"/>
      <c r="AS221" s="91"/>
      <c r="AT221" s="91"/>
      <c r="AU221" s="91"/>
      <c r="AV221" s="91"/>
      <c r="AW221" s="91"/>
      <c r="AX221" s="91"/>
      <c r="AY221" s="91"/>
      <c r="AZ221" s="91"/>
      <c r="BA221" s="91"/>
      <c r="BB221" s="91"/>
      <c r="BC221" s="91"/>
      <c r="BD221" s="91"/>
      <c r="BE221" s="91"/>
      <c r="BF221" s="91"/>
      <c r="BG221" s="91"/>
      <c r="BH221" s="91"/>
      <c r="BI221" s="91"/>
      <c r="BJ221" s="91"/>
      <c r="BK221" s="91"/>
      <c r="BL221" s="91"/>
      <c r="BM221" s="91"/>
      <c r="BN221" s="91"/>
      <c r="BO221" s="91"/>
    </row>
    <row r="222" spans="1:67" s="91" customFormat="1" ht="15" customHeight="1" thickBot="1">
      <c r="A222" s="1743" t="s">
        <v>467</v>
      </c>
      <c r="B222" s="1743"/>
      <c r="C222" s="1743"/>
      <c r="D222" s="1743"/>
      <c r="E222" s="1743"/>
      <c r="F222" s="1743"/>
      <c r="G222" s="1743"/>
      <c r="H222" s="1743"/>
      <c r="I222" s="1744"/>
      <c r="J222" s="1483" t="str">
        <f>IF(AND(AI223,AI225,AI226,AI227),"○","×")</f>
        <v>×</v>
      </c>
      <c r="K222" s="1484"/>
      <c r="L222" s="1484"/>
      <c r="M222" s="1484"/>
      <c r="N222" s="1485"/>
      <c r="O222" s="1471" t="s">
        <v>209</v>
      </c>
      <c r="P222" s="1393"/>
      <c r="Q222" s="1393"/>
      <c r="R222" s="636"/>
      <c r="S222" s="636"/>
      <c r="T222" s="636"/>
      <c r="U222" s="636"/>
      <c r="V222" s="636"/>
      <c r="W222" s="636"/>
      <c r="X222" s="636"/>
      <c r="Y222" s="636"/>
      <c r="Z222" s="636"/>
      <c r="AA222" s="636"/>
      <c r="AB222" s="636"/>
      <c r="AC222" s="636"/>
      <c r="AD222" s="636"/>
      <c r="AE222" s="636"/>
      <c r="AF222" s="636"/>
      <c r="AG222" s="636"/>
      <c r="AH222" s="104"/>
    </row>
    <row r="223" spans="1:67" s="91" customFormat="1" ht="15" customHeight="1">
      <c r="A223" s="1399" t="s">
        <v>115</v>
      </c>
      <c r="B223" s="1399"/>
      <c r="C223" s="1399"/>
      <c r="D223" s="1399"/>
      <c r="E223" s="1457"/>
      <c r="F223" s="1603"/>
      <c r="G223" s="1603"/>
      <c r="H223" s="1603"/>
      <c r="I223" s="1603"/>
      <c r="J223" s="1604"/>
      <c r="K223" s="1604"/>
      <c r="L223" s="601"/>
      <c r="M223" s="601"/>
      <c r="N223" s="601"/>
      <c r="O223" s="601"/>
      <c r="P223" s="601"/>
      <c r="Q223" s="601"/>
      <c r="R223" s="601"/>
      <c r="S223" s="601"/>
      <c r="T223" s="601"/>
      <c r="U223" s="601"/>
      <c r="V223" s="601"/>
      <c r="W223" s="601"/>
      <c r="X223" s="601"/>
      <c r="Y223" s="601"/>
      <c r="Z223" s="601"/>
      <c r="AA223" s="601"/>
      <c r="AB223" s="601"/>
      <c r="AC223" s="601"/>
      <c r="AD223" s="601"/>
      <c r="AE223" s="601"/>
      <c r="AF223" s="601"/>
      <c r="AG223" s="601"/>
      <c r="AH223" s="95"/>
      <c r="AI223" s="914" t="b">
        <f>F223="申請する"</f>
        <v>0</v>
      </c>
      <c r="AK223" s="90"/>
      <c r="AL223" s="90"/>
      <c r="AM223" s="90"/>
      <c r="AN223" s="90"/>
      <c r="AO223" s="90"/>
      <c r="AP223" s="90"/>
      <c r="AQ223" s="90"/>
      <c r="AR223" s="90"/>
      <c r="AS223" s="90"/>
      <c r="AT223" s="90"/>
      <c r="AU223" s="90"/>
      <c r="AV223" s="90"/>
      <c r="AW223" s="90"/>
      <c r="AX223" s="90"/>
      <c r="AY223" s="90"/>
      <c r="AZ223" s="90"/>
      <c r="BA223" s="90"/>
      <c r="BB223" s="90"/>
      <c r="BC223" s="90"/>
      <c r="BD223" s="90"/>
      <c r="BE223" s="90"/>
      <c r="BF223" s="90"/>
      <c r="BG223" s="90"/>
      <c r="BH223" s="90"/>
      <c r="BI223" s="90"/>
      <c r="BJ223" s="90"/>
      <c r="BK223" s="90"/>
      <c r="BL223" s="90"/>
      <c r="BM223" s="90"/>
      <c r="BN223" s="90"/>
      <c r="BO223" s="90"/>
    </row>
    <row r="224" spans="1:67" s="90" customFormat="1" ht="15" customHeight="1">
      <c r="A224" s="1411" t="s">
        <v>472</v>
      </c>
      <c r="B224" s="1501"/>
      <c r="C224" s="1501"/>
      <c r="D224" s="1501"/>
      <c r="E224" s="1501"/>
      <c r="F224" s="1455" t="s">
        <v>99</v>
      </c>
      <c r="G224" s="1455"/>
      <c r="H224" s="1455"/>
      <c r="I224" s="1455"/>
      <c r="J224" s="1455"/>
      <c r="K224" s="1455"/>
      <c r="L224" s="1455"/>
      <c r="M224" s="1455"/>
      <c r="N224" s="1455"/>
      <c r="O224" s="1455"/>
      <c r="P224" s="1455"/>
      <c r="Q224" s="1455"/>
      <c r="R224" s="1455"/>
      <c r="S224" s="1455"/>
      <c r="T224" s="1455"/>
      <c r="U224" s="1455"/>
      <c r="V224" s="1455"/>
      <c r="W224" s="1455"/>
      <c r="X224" s="1455"/>
      <c r="Y224" s="1455"/>
      <c r="Z224" s="1455"/>
      <c r="AA224" s="1455"/>
      <c r="AB224" s="1455"/>
      <c r="AC224" s="1398"/>
      <c r="AD224" s="1399" t="s">
        <v>210</v>
      </c>
      <c r="AE224" s="1399"/>
      <c r="AF224" s="1399"/>
      <c r="AG224" s="1399"/>
      <c r="AH224" s="104"/>
      <c r="AI224" s="106"/>
      <c r="AJ224" s="91"/>
    </row>
    <row r="225" spans="1:67" s="90" customFormat="1" ht="15" customHeight="1">
      <c r="A225" s="1809"/>
      <c r="B225" s="1707"/>
      <c r="C225" s="1707"/>
      <c r="D225" s="1707"/>
      <c r="E225" s="1707"/>
      <c r="F225" s="909">
        <v>1</v>
      </c>
      <c r="G225" s="1400" t="s">
        <v>952</v>
      </c>
      <c r="H225" s="1400"/>
      <c r="I225" s="1400"/>
      <c r="J225" s="1400"/>
      <c r="K225" s="1400"/>
      <c r="L225" s="1400"/>
      <c r="M225" s="1400"/>
      <c r="N225" s="1400"/>
      <c r="O225" s="1400"/>
      <c r="P225" s="1400"/>
      <c r="Q225" s="1400"/>
      <c r="R225" s="1400"/>
      <c r="S225" s="1400"/>
      <c r="T225" s="1400"/>
      <c r="U225" s="1400"/>
      <c r="V225" s="1400"/>
      <c r="W225" s="1400"/>
      <c r="X225" s="1400"/>
      <c r="Y225" s="1400"/>
      <c r="Z225" s="1400"/>
      <c r="AA225" s="1400"/>
      <c r="AB225" s="1400"/>
      <c r="AC225" s="1401"/>
      <c r="AD225" s="1402" t="str">
        <f>【様式５】職員数算出表!O62</f>
        <v>-</v>
      </c>
      <c r="AE225" s="1377"/>
      <c r="AF225" s="1377"/>
      <c r="AG225" s="1378"/>
      <c r="AH225" s="104"/>
      <c r="AI225" s="172" t="b">
        <f>AD225="○"</f>
        <v>0</v>
      </c>
      <c r="AJ225" s="91"/>
    </row>
    <row r="226" spans="1:67" s="90" customFormat="1" ht="15" customHeight="1">
      <c r="A226" s="1809"/>
      <c r="B226" s="1707"/>
      <c r="C226" s="1707"/>
      <c r="D226" s="1707"/>
      <c r="E226" s="1707"/>
      <c r="F226" s="939">
        <v>2</v>
      </c>
      <c r="G226" s="1475" t="s">
        <v>439</v>
      </c>
      <c r="H226" s="1475"/>
      <c r="I226" s="1475"/>
      <c r="J226" s="1475"/>
      <c r="K226" s="1475"/>
      <c r="L226" s="1475"/>
      <c r="M226" s="1475"/>
      <c r="N226" s="1475"/>
      <c r="O226" s="1475"/>
      <c r="P226" s="1475"/>
      <c r="Q226" s="1475"/>
      <c r="R226" s="1475"/>
      <c r="S226" s="1475"/>
      <c r="T226" s="1475"/>
      <c r="U226" s="1475"/>
      <c r="V226" s="1475"/>
      <c r="W226" s="1475"/>
      <c r="X226" s="1475"/>
      <c r="Y226" s="1475"/>
      <c r="Z226" s="1475"/>
      <c r="AA226" s="1475"/>
      <c r="AB226" s="1475"/>
      <c r="AC226" s="1475"/>
      <c r="AD226" s="1495"/>
      <c r="AE226" s="1496"/>
      <c r="AF226" s="1496"/>
      <c r="AG226" s="1497"/>
      <c r="AH226" s="104"/>
      <c r="AI226" s="172" t="b">
        <f>AD226="○"</f>
        <v>0</v>
      </c>
      <c r="AJ226" s="91"/>
    </row>
    <row r="227" spans="1:67" s="90" customFormat="1" ht="15" customHeight="1">
      <c r="A227" s="1809"/>
      <c r="B227" s="1707"/>
      <c r="C227" s="1707"/>
      <c r="D227" s="1707"/>
      <c r="E227" s="1707"/>
      <c r="F227" s="943">
        <v>3</v>
      </c>
      <c r="G227" s="1428" t="s">
        <v>468</v>
      </c>
      <c r="H227" s="1428"/>
      <c r="I227" s="1428"/>
      <c r="J227" s="1428"/>
      <c r="K227" s="1428"/>
      <c r="L227" s="1428"/>
      <c r="M227" s="1428"/>
      <c r="N227" s="1428"/>
      <c r="O227" s="1428"/>
      <c r="P227" s="1428"/>
      <c r="Q227" s="1428"/>
      <c r="R227" s="1428"/>
      <c r="S227" s="1428"/>
      <c r="T227" s="1428"/>
      <c r="U227" s="1428"/>
      <c r="V227" s="1428"/>
      <c r="W227" s="1428"/>
      <c r="X227" s="1428"/>
      <c r="Y227" s="1428"/>
      <c r="Z227" s="1428"/>
      <c r="AA227" s="1428"/>
      <c r="AB227" s="1428"/>
      <c r="AC227" s="1429"/>
      <c r="AD227" s="1389" t="str">
        <f>IF(COUNTIF($AF$228:$AG$241,"○")&gt;=2,"○","×")</f>
        <v>×</v>
      </c>
      <c r="AE227" s="1390"/>
      <c r="AF227" s="1390"/>
      <c r="AG227" s="1573"/>
      <c r="AH227" s="104"/>
      <c r="AI227" s="913" t="b">
        <f>AD227="○"</f>
        <v>0</v>
      </c>
      <c r="AN227" s="87"/>
      <c r="AO227" s="87"/>
      <c r="AP227" s="87"/>
      <c r="AQ227" s="87"/>
      <c r="AR227" s="87"/>
      <c r="AS227" s="87"/>
      <c r="AT227" s="87"/>
      <c r="AU227" s="87"/>
      <c r="AV227" s="87"/>
      <c r="AW227" s="87"/>
      <c r="AX227" s="87"/>
      <c r="AY227" s="87"/>
      <c r="AZ227" s="87"/>
      <c r="BA227" s="87"/>
      <c r="BB227" s="87"/>
      <c r="BC227" s="87"/>
      <c r="BD227" s="87"/>
      <c r="BE227" s="87"/>
      <c r="BF227" s="87"/>
      <c r="BG227" s="87"/>
      <c r="BH227" s="87"/>
      <c r="BI227" s="87"/>
      <c r="BJ227" s="87"/>
      <c r="BK227" s="87"/>
      <c r="BL227" s="91"/>
      <c r="BM227" s="91"/>
      <c r="BN227" s="91"/>
      <c r="BO227" s="91"/>
    </row>
    <row r="228" spans="1:67" s="91" customFormat="1" ht="39.75" customHeight="1">
      <c r="A228" s="1809"/>
      <c r="B228" s="1707"/>
      <c r="C228" s="1707"/>
      <c r="D228" s="1707"/>
      <c r="E228" s="1707"/>
      <c r="F228" s="1421" t="s">
        <v>136</v>
      </c>
      <c r="G228" s="1422"/>
      <c r="H228" s="1716" t="s">
        <v>613</v>
      </c>
      <c r="I228" s="1716"/>
      <c r="J228" s="1716"/>
      <c r="K228" s="1716"/>
      <c r="L228" s="1716"/>
      <c r="M228" s="1716"/>
      <c r="N228" s="1716"/>
      <c r="O228" s="1716"/>
      <c r="P228" s="1716"/>
      <c r="Q228" s="1716"/>
      <c r="R228" s="1716"/>
      <c r="S228" s="1716"/>
      <c r="T228" s="1716"/>
      <c r="U228" s="1716"/>
      <c r="V228" s="1716"/>
      <c r="W228" s="1716"/>
      <c r="X228" s="1716"/>
      <c r="Y228" s="1716"/>
      <c r="Z228" s="1716"/>
      <c r="AA228" s="1716"/>
      <c r="AB228" s="1716"/>
      <c r="AC228" s="1716"/>
      <c r="AD228" s="1716"/>
      <c r="AE228" s="1716"/>
      <c r="AF228" s="1726" t="str">
        <f>IF(AND($X$229="○",AI229&gt;=AJ229),"○","×")</f>
        <v>×</v>
      </c>
      <c r="AG228" s="1727"/>
      <c r="AI228" s="491" t="s">
        <v>182</v>
      </c>
      <c r="AJ228" s="491" t="s">
        <v>183</v>
      </c>
    </row>
    <row r="229" spans="1:67" s="91" customFormat="1" ht="15" customHeight="1">
      <c r="A229" s="1809"/>
      <c r="B229" s="1707"/>
      <c r="C229" s="1707"/>
      <c r="D229" s="1707"/>
      <c r="E229" s="1707"/>
      <c r="F229" s="1392"/>
      <c r="G229" s="1393"/>
      <c r="H229" s="724" t="s">
        <v>490</v>
      </c>
      <c r="I229" s="1742" t="s">
        <v>180</v>
      </c>
      <c r="J229" s="1742"/>
      <c r="K229" s="1742"/>
      <c r="L229" s="1742"/>
      <c r="M229" s="1742"/>
      <c r="N229" s="1742"/>
      <c r="O229" s="1742"/>
      <c r="P229" s="1742"/>
      <c r="Q229" s="1742"/>
      <c r="R229" s="1742"/>
      <c r="S229" s="1742"/>
      <c r="T229" s="1742"/>
      <c r="U229" s="1742"/>
      <c r="V229" s="1742"/>
      <c r="W229" s="1742"/>
      <c r="X229" s="1745"/>
      <c r="Y229" s="1746"/>
      <c r="Z229" s="1746"/>
      <c r="AA229" s="1746"/>
      <c r="AB229" s="1746"/>
      <c r="AC229" s="1746"/>
      <c r="AD229" s="1746"/>
      <c r="AE229" s="1747"/>
      <c r="AF229" s="1728"/>
      <c r="AG229" s="1729"/>
      <c r="AI229" s="491">
        <f>IFERROR(VLOOKUP($I$10,$AL$3:$AM$14,2,FALSE),0)</f>
        <v>0</v>
      </c>
      <c r="AJ229" s="491">
        <f>IFERROR(VLOOKUP($X$230,$AL$3:$AM$14,2,FALSE),13)</f>
        <v>13</v>
      </c>
    </row>
    <row r="230" spans="1:67" s="91" customFormat="1" ht="15" customHeight="1">
      <c r="A230" s="1809"/>
      <c r="B230" s="1707"/>
      <c r="C230" s="1707"/>
      <c r="D230" s="1707"/>
      <c r="E230" s="1707"/>
      <c r="F230" s="1423"/>
      <c r="G230" s="1424"/>
      <c r="H230" s="725" t="s">
        <v>491</v>
      </c>
      <c r="I230" s="1757" t="s">
        <v>492</v>
      </c>
      <c r="J230" s="1757"/>
      <c r="K230" s="1757"/>
      <c r="L230" s="1757"/>
      <c r="M230" s="1757"/>
      <c r="N230" s="1757"/>
      <c r="O230" s="1757"/>
      <c r="P230" s="1757"/>
      <c r="Q230" s="1757"/>
      <c r="R230" s="1757"/>
      <c r="S230" s="1757"/>
      <c r="T230" s="1757"/>
      <c r="U230" s="1757"/>
      <c r="V230" s="1757"/>
      <c r="W230" s="1757"/>
      <c r="X230" s="1748"/>
      <c r="Y230" s="1749"/>
      <c r="Z230" s="1749"/>
      <c r="AA230" s="1749"/>
      <c r="AB230" s="1749"/>
      <c r="AC230" s="1749"/>
      <c r="AD230" s="1749"/>
      <c r="AE230" s="1750"/>
      <c r="AF230" s="1730"/>
      <c r="AG230" s="1731"/>
      <c r="AI230" s="104"/>
    </row>
    <row r="231" spans="1:67" s="91" customFormat="1" ht="50.1" customHeight="1">
      <c r="A231" s="1809"/>
      <c r="B231" s="1707"/>
      <c r="C231" s="1707"/>
      <c r="D231" s="1707"/>
      <c r="E231" s="1707"/>
      <c r="F231" s="1563" t="s">
        <v>87</v>
      </c>
      <c r="G231" s="1564"/>
      <c r="H231" s="1798" t="s">
        <v>860</v>
      </c>
      <c r="I231" s="1799"/>
      <c r="J231" s="1799"/>
      <c r="K231" s="1799"/>
      <c r="L231" s="1799"/>
      <c r="M231" s="1799"/>
      <c r="N231" s="1799"/>
      <c r="O231" s="1799"/>
      <c r="P231" s="1799"/>
      <c r="Q231" s="1799"/>
      <c r="R231" s="1799"/>
      <c r="S231" s="1799"/>
      <c r="T231" s="1799"/>
      <c r="U231" s="1799"/>
      <c r="V231" s="1799"/>
      <c r="W231" s="1799"/>
      <c r="X231" s="1799"/>
      <c r="Y231" s="1799"/>
      <c r="Z231" s="1799"/>
      <c r="AA231" s="1799"/>
      <c r="AB231" s="1762"/>
      <c r="AC231" s="1762"/>
      <c r="AD231" s="1762"/>
      <c r="AE231" s="1763"/>
      <c r="AF231" s="1732" t="str">
        <f>IFERROR(IF(OR(HLOOKUP($AI$229,$AJ$233:$AV$234,2,FALSE),AND($AI$229=1,$AK$234)),"○","×"),"×")</f>
        <v>×</v>
      </c>
      <c r="AG231" s="1463"/>
      <c r="AI231" s="491" t="s">
        <v>505</v>
      </c>
      <c r="AJ231" s="173">
        <v>4</v>
      </c>
      <c r="AK231" s="172">
        <v>5</v>
      </c>
      <c r="AL231" s="172">
        <v>6</v>
      </c>
      <c r="AM231" s="172">
        <v>7</v>
      </c>
      <c r="AN231" s="172">
        <v>8</v>
      </c>
      <c r="AO231" s="172">
        <v>9</v>
      </c>
      <c r="AP231" s="172">
        <v>10</v>
      </c>
      <c r="AQ231" s="172">
        <v>11</v>
      </c>
      <c r="AR231" s="172">
        <v>12</v>
      </c>
      <c r="AS231" s="172">
        <v>1</v>
      </c>
      <c r="AT231" s="172"/>
      <c r="AU231" s="172">
        <v>2</v>
      </c>
      <c r="AV231" s="172">
        <v>3</v>
      </c>
    </row>
    <row r="232" spans="1:67" s="91" customFormat="1" ht="24.95" hidden="1" customHeight="1">
      <c r="A232" s="1809"/>
      <c r="B232" s="1707"/>
      <c r="C232" s="1707"/>
      <c r="D232" s="1707"/>
      <c r="E232" s="1707"/>
      <c r="F232" s="1565"/>
      <c r="G232" s="1566"/>
      <c r="H232" s="1795" t="s">
        <v>1131</v>
      </c>
      <c r="I232" s="1795"/>
      <c r="J232" s="1795"/>
      <c r="K232" s="1795"/>
      <c r="L232" s="1795"/>
      <c r="M232" s="1795"/>
      <c r="N232" s="1795"/>
      <c r="O232" s="1795"/>
      <c r="P232" s="1795"/>
      <c r="Q232" s="1795"/>
      <c r="R232" s="1795"/>
      <c r="S232" s="1795"/>
      <c r="T232" s="1795"/>
      <c r="U232" s="1795"/>
      <c r="V232" s="1795"/>
      <c r="W232" s="1795"/>
      <c r="X232" s="1795"/>
      <c r="Y232" s="1795"/>
      <c r="Z232" s="1795"/>
      <c r="AA232" s="1795"/>
      <c r="AB232" s="1721"/>
      <c r="AC232" s="1722"/>
      <c r="AD232" s="1722"/>
      <c r="AE232" s="1723"/>
      <c r="AF232" s="1393"/>
      <c r="AG232" s="1394"/>
      <c r="AI232" s="491"/>
      <c r="AJ232" s="173"/>
      <c r="AK232" s="172"/>
      <c r="AL232" s="172"/>
      <c r="AM232" s="172"/>
      <c r="AN232" s="172"/>
      <c r="AO232" s="172"/>
      <c r="AP232" s="172"/>
      <c r="AQ232" s="172"/>
      <c r="AR232" s="172"/>
      <c r="AS232" s="172"/>
      <c r="AT232" s="172"/>
      <c r="AU232" s="172"/>
      <c r="AV232" s="172"/>
    </row>
    <row r="233" spans="1:67" s="91" customFormat="1" ht="15" customHeight="1">
      <c r="A233" s="1809"/>
      <c r="B233" s="1707"/>
      <c r="C233" s="1707"/>
      <c r="D233" s="1707"/>
      <c r="E233" s="1707"/>
      <c r="F233" s="1567"/>
      <c r="G233" s="1568"/>
      <c r="H233" s="1769" t="str">
        <f>IF(AB232="○","昨年度","今年度")&amp;"の各月延べ利用数(25人/月が該当月)"</f>
        <v>今年度の各月延べ利用数(25人/月が該当月)</v>
      </c>
      <c r="I233" s="1769"/>
      <c r="J233" s="1769"/>
      <c r="K233" s="1769"/>
      <c r="L233" s="1769"/>
      <c r="M233" s="1769"/>
      <c r="N233" s="1769"/>
      <c r="O233" s="1769"/>
      <c r="P233" s="1769"/>
      <c r="Q233" s="1769"/>
      <c r="R233" s="1769"/>
      <c r="S233" s="1769"/>
      <c r="T233" s="1769"/>
      <c r="U233" s="1769"/>
      <c r="V233" s="1769"/>
      <c r="W233" s="1769"/>
      <c r="X233" s="1769"/>
      <c r="Y233" s="1769"/>
      <c r="Z233" s="1769"/>
      <c r="AA233" s="1769"/>
      <c r="AB233" s="1769"/>
      <c r="AC233" s="1769"/>
      <c r="AD233" s="1769"/>
      <c r="AE233" s="1770"/>
      <c r="AF233" s="1733"/>
      <c r="AG233" s="1394"/>
      <c r="AI233" s="491" t="s">
        <v>506</v>
      </c>
      <c r="AJ233" s="491">
        <v>1</v>
      </c>
      <c r="AK233" s="491">
        <v>2</v>
      </c>
      <c r="AL233" s="491">
        <v>3</v>
      </c>
      <c r="AM233" s="491">
        <v>4</v>
      </c>
      <c r="AN233" s="491">
        <v>5</v>
      </c>
      <c r="AO233" s="491">
        <v>6</v>
      </c>
      <c r="AP233" s="491">
        <v>7</v>
      </c>
      <c r="AQ233" s="491">
        <v>8</v>
      </c>
      <c r="AR233" s="491">
        <v>9</v>
      </c>
      <c r="AS233" s="491">
        <v>10</v>
      </c>
      <c r="AT233" s="491"/>
      <c r="AU233" s="491">
        <v>11</v>
      </c>
      <c r="AV233" s="491">
        <v>12</v>
      </c>
    </row>
    <row r="234" spans="1:67" s="91" customFormat="1" ht="15" customHeight="1">
      <c r="A234" s="1809"/>
      <c r="B234" s="1707"/>
      <c r="C234" s="1707"/>
      <c r="D234" s="1707"/>
      <c r="E234" s="1707"/>
      <c r="F234" s="1567"/>
      <c r="G234" s="1568"/>
      <c r="H234" s="1571" t="s">
        <v>493</v>
      </c>
      <c r="I234" s="1571"/>
      <c r="J234" s="1572"/>
      <c r="K234" s="1738"/>
      <c r="L234" s="1739"/>
      <c r="M234" s="989" t="s">
        <v>10</v>
      </c>
      <c r="N234" s="1571" t="s">
        <v>494</v>
      </c>
      <c r="O234" s="1571"/>
      <c r="P234" s="1572"/>
      <c r="Q234" s="1738"/>
      <c r="R234" s="1739"/>
      <c r="S234" s="989" t="s">
        <v>10</v>
      </c>
      <c r="T234" s="1571" t="s">
        <v>495</v>
      </c>
      <c r="U234" s="1571"/>
      <c r="V234" s="1572"/>
      <c r="W234" s="1738"/>
      <c r="X234" s="1739"/>
      <c r="Y234" s="989" t="s">
        <v>10</v>
      </c>
      <c r="Z234" s="1571" t="s">
        <v>496</v>
      </c>
      <c r="AA234" s="1571"/>
      <c r="AB234" s="1572"/>
      <c r="AC234" s="1738"/>
      <c r="AD234" s="1739"/>
      <c r="AE234" s="991" t="s">
        <v>10</v>
      </c>
      <c r="AF234" s="1733"/>
      <c r="AG234" s="1394"/>
      <c r="AI234" s="491" t="s">
        <v>507</v>
      </c>
      <c r="AJ234" s="172" t="b">
        <f>K234&gt;=25</f>
        <v>0</v>
      </c>
      <c r="AK234" s="172" t="b">
        <f>OR(Q234&gt;=25,AJ234)</f>
        <v>0</v>
      </c>
      <c r="AL234" s="172" t="b">
        <f>OR(W234&gt;=25,AK234)</f>
        <v>0</v>
      </c>
      <c r="AM234" s="172" t="b">
        <f>OR(AC234&gt;=25,AL234)</f>
        <v>0</v>
      </c>
      <c r="AN234" s="172" t="b">
        <f>OR(K235&gt;=25,AM234)</f>
        <v>0</v>
      </c>
      <c r="AO234" s="172" t="b">
        <f>OR(Q235&gt;=25,AN234)</f>
        <v>0</v>
      </c>
      <c r="AP234" s="172" t="b">
        <f>OR(W235&gt;=25,AO234)</f>
        <v>0</v>
      </c>
      <c r="AQ234" s="172" t="b">
        <f>OR(AC235&gt;=25,AP234)</f>
        <v>0</v>
      </c>
      <c r="AR234" s="172" t="b">
        <f>OR(K236&gt;=25,AQ234)</f>
        <v>0</v>
      </c>
      <c r="AS234" s="172" t="b">
        <f>OR(Q236&gt;=25,AR234)</f>
        <v>0</v>
      </c>
      <c r="AT234" s="172"/>
      <c r="AU234" s="172" t="b">
        <f>OR(W236&gt;=25,AS234)</f>
        <v>0</v>
      </c>
      <c r="AV234" s="172" t="b">
        <f>OR(AC236&gt;=25,AU234)</f>
        <v>0</v>
      </c>
    </row>
    <row r="235" spans="1:67" s="91" customFormat="1" ht="15" customHeight="1">
      <c r="A235" s="1809"/>
      <c r="B235" s="1707"/>
      <c r="C235" s="1707"/>
      <c r="D235" s="1707"/>
      <c r="E235" s="1707"/>
      <c r="F235" s="1567"/>
      <c r="G235" s="1568"/>
      <c r="H235" s="1571" t="s">
        <v>497</v>
      </c>
      <c r="I235" s="1571"/>
      <c r="J235" s="1572"/>
      <c r="K235" s="1738"/>
      <c r="L235" s="1739"/>
      <c r="M235" s="989" t="s">
        <v>10</v>
      </c>
      <c r="N235" s="1571" t="s">
        <v>498</v>
      </c>
      <c r="O235" s="1571"/>
      <c r="P235" s="1572"/>
      <c r="Q235" s="1738"/>
      <c r="R235" s="1739"/>
      <c r="S235" s="989" t="s">
        <v>10</v>
      </c>
      <c r="T235" s="1571" t="s">
        <v>499</v>
      </c>
      <c r="U235" s="1571"/>
      <c r="V235" s="1572"/>
      <c r="W235" s="1738"/>
      <c r="X235" s="1739"/>
      <c r="Y235" s="989" t="s">
        <v>10</v>
      </c>
      <c r="Z235" s="1571" t="s">
        <v>500</v>
      </c>
      <c r="AA235" s="1571"/>
      <c r="AB235" s="1572"/>
      <c r="AC235" s="1738"/>
      <c r="AD235" s="1739"/>
      <c r="AE235" s="991" t="s">
        <v>10</v>
      </c>
      <c r="AF235" s="1733"/>
      <c r="AG235" s="1394"/>
      <c r="AI235" s="88"/>
      <c r="AJ235" s="105"/>
      <c r="AK235" s="105"/>
      <c r="AL235" s="105"/>
      <c r="AM235" s="105"/>
      <c r="AN235" s="105"/>
      <c r="AO235" s="105"/>
      <c r="AP235" s="105"/>
      <c r="AQ235" s="105"/>
      <c r="AR235" s="105"/>
      <c r="AS235" s="105"/>
      <c r="AT235" s="105"/>
      <c r="AU235" s="105"/>
      <c r="AV235" s="105"/>
    </row>
    <row r="236" spans="1:67" s="91" customFormat="1" ht="15" customHeight="1">
      <c r="A236" s="1809"/>
      <c r="B236" s="1707"/>
      <c r="C236" s="1707"/>
      <c r="D236" s="1707"/>
      <c r="E236" s="1707"/>
      <c r="F236" s="1569"/>
      <c r="G236" s="1570"/>
      <c r="H236" s="1736" t="s">
        <v>501</v>
      </c>
      <c r="I236" s="1736"/>
      <c r="J236" s="1737"/>
      <c r="K236" s="1409"/>
      <c r="L236" s="1410"/>
      <c r="M236" s="990" t="s">
        <v>10</v>
      </c>
      <c r="N236" s="1736" t="s">
        <v>502</v>
      </c>
      <c r="O236" s="1736"/>
      <c r="P236" s="1737"/>
      <c r="Q236" s="1409"/>
      <c r="R236" s="1410"/>
      <c r="S236" s="990" t="s">
        <v>10</v>
      </c>
      <c r="T236" s="1736" t="s">
        <v>503</v>
      </c>
      <c r="U236" s="1736"/>
      <c r="V236" s="1737"/>
      <c r="W236" s="1409"/>
      <c r="X236" s="1410"/>
      <c r="Y236" s="990" t="s">
        <v>10</v>
      </c>
      <c r="Z236" s="1736" t="s">
        <v>504</v>
      </c>
      <c r="AA236" s="1736"/>
      <c r="AB236" s="1737"/>
      <c r="AC236" s="1409"/>
      <c r="AD236" s="1410"/>
      <c r="AE236" s="992" t="s">
        <v>10</v>
      </c>
      <c r="AF236" s="1734"/>
      <c r="AG236" s="1735"/>
      <c r="AI236" s="104"/>
    </row>
    <row r="237" spans="1:67" s="91" customFormat="1" ht="15" customHeight="1">
      <c r="A237" s="1809"/>
      <c r="B237" s="1707"/>
      <c r="C237" s="1707"/>
      <c r="D237" s="1707"/>
      <c r="E237" s="1707"/>
      <c r="F237" s="1392" t="s">
        <v>88</v>
      </c>
      <c r="G237" s="1393"/>
      <c r="H237" s="1346" t="s">
        <v>623</v>
      </c>
      <c r="I237" s="1346"/>
      <c r="J237" s="1346"/>
      <c r="K237" s="1346"/>
      <c r="L237" s="1346"/>
      <c r="M237" s="1346"/>
      <c r="N237" s="1346"/>
      <c r="O237" s="1346"/>
      <c r="P237" s="1346"/>
      <c r="Q237" s="1346"/>
      <c r="R237" s="1346"/>
      <c r="S237" s="1346"/>
      <c r="T237" s="1346"/>
      <c r="U237" s="1346"/>
      <c r="V237" s="1346"/>
      <c r="W237" s="1346"/>
      <c r="X237" s="1346"/>
      <c r="Y237" s="1346"/>
      <c r="Z237" s="1346"/>
      <c r="AA237" s="1346"/>
      <c r="AB237" s="1346"/>
      <c r="AC237" s="1346"/>
      <c r="AD237" s="1346"/>
      <c r="AE237" s="1346"/>
      <c r="AF237" s="1759" t="s">
        <v>181</v>
      </c>
      <c r="AG237" s="1729"/>
      <c r="AI237" s="104"/>
    </row>
    <row r="238" spans="1:67" s="91" customFormat="1" ht="15" customHeight="1">
      <c r="A238" s="1809"/>
      <c r="B238" s="1707"/>
      <c r="C238" s="1707"/>
      <c r="D238" s="1707"/>
      <c r="E238" s="1707"/>
      <c r="F238" s="1421" t="s">
        <v>469</v>
      </c>
      <c r="G238" s="1422"/>
      <c r="H238" s="1489" t="s">
        <v>624</v>
      </c>
      <c r="I238" s="1489"/>
      <c r="J238" s="1489"/>
      <c r="K238" s="1489"/>
      <c r="L238" s="1489"/>
      <c r="M238" s="1489"/>
      <c r="N238" s="1489"/>
      <c r="O238" s="1489"/>
      <c r="P238" s="1489"/>
      <c r="Q238" s="1489"/>
      <c r="R238" s="1489"/>
      <c r="S238" s="1489"/>
      <c r="T238" s="1489"/>
      <c r="U238" s="1489"/>
      <c r="V238" s="1489"/>
      <c r="W238" s="1489"/>
      <c r="X238" s="1489"/>
      <c r="Y238" s="1489"/>
      <c r="Z238" s="1489"/>
      <c r="AA238" s="1489"/>
      <c r="AB238" s="1489"/>
      <c r="AC238" s="1489"/>
      <c r="AD238" s="1489"/>
      <c r="AE238" s="1489"/>
      <c r="AF238" s="1726" t="str">
        <f>IF(AJ239&lt;=AI229,"○","×")</f>
        <v>×</v>
      </c>
      <c r="AG238" s="1727"/>
      <c r="AJ238" s="94" t="s">
        <v>183</v>
      </c>
    </row>
    <row r="239" spans="1:67" s="91" customFormat="1" ht="15" customHeight="1">
      <c r="A239" s="1809"/>
      <c r="B239" s="1707"/>
      <c r="C239" s="1707"/>
      <c r="D239" s="1707"/>
      <c r="E239" s="1707"/>
      <c r="F239" s="1423"/>
      <c r="G239" s="1424"/>
      <c r="H239" s="1801" t="s">
        <v>184</v>
      </c>
      <c r="I239" s="1801"/>
      <c r="J239" s="1801"/>
      <c r="K239" s="1801"/>
      <c r="L239" s="1801"/>
      <c r="M239" s="1801"/>
      <c r="N239" s="1801"/>
      <c r="O239" s="1801"/>
      <c r="P239" s="1801"/>
      <c r="Q239" s="1801"/>
      <c r="R239" s="1801"/>
      <c r="S239" s="1801"/>
      <c r="T239" s="1801"/>
      <c r="U239" s="1801"/>
      <c r="V239" s="1801"/>
      <c r="W239" s="1801"/>
      <c r="X239" s="1801"/>
      <c r="Y239" s="1801"/>
      <c r="Z239" s="1801"/>
      <c r="AA239" s="1801"/>
      <c r="AB239" s="1768"/>
      <c r="AC239" s="1768"/>
      <c r="AD239" s="1801" t="s">
        <v>185</v>
      </c>
      <c r="AE239" s="1801"/>
      <c r="AF239" s="1760"/>
      <c r="AG239" s="1731"/>
      <c r="AJ239" s="94">
        <f>IFERROR(VLOOKUP($AB$239,$AL$3:$AM$14,2,FALSE),13)</f>
        <v>13</v>
      </c>
    </row>
    <row r="240" spans="1:67" s="91" customFormat="1" ht="15" customHeight="1">
      <c r="A240" s="1809"/>
      <c r="B240" s="1707"/>
      <c r="C240" s="1707"/>
      <c r="D240" s="1707"/>
      <c r="E240" s="1707"/>
      <c r="F240" s="1392" t="s">
        <v>470</v>
      </c>
      <c r="G240" s="1393"/>
      <c r="H240" s="1346" t="s">
        <v>625</v>
      </c>
      <c r="I240" s="1346"/>
      <c r="J240" s="1346"/>
      <c r="K240" s="1346"/>
      <c r="L240" s="1346"/>
      <c r="M240" s="1346"/>
      <c r="N240" s="1346"/>
      <c r="O240" s="1346"/>
      <c r="P240" s="1346"/>
      <c r="Q240" s="1346"/>
      <c r="R240" s="1346"/>
      <c r="S240" s="1346"/>
      <c r="T240" s="1346"/>
      <c r="U240" s="1346"/>
      <c r="V240" s="1346"/>
      <c r="W240" s="1346"/>
      <c r="X240" s="1346"/>
      <c r="Y240" s="1346"/>
      <c r="Z240" s="1346"/>
      <c r="AA240" s="1346"/>
      <c r="AB240" s="1346"/>
      <c r="AC240" s="1346"/>
      <c r="AD240" s="1346"/>
      <c r="AE240" s="1346"/>
      <c r="AF240" s="1764" t="str">
        <f>IF(AJ241&lt;=AI229,"○","×")</f>
        <v>×</v>
      </c>
      <c r="AG240" s="1765"/>
      <c r="AJ240" s="94" t="s">
        <v>183</v>
      </c>
    </row>
    <row r="241" spans="1:67" s="91" customFormat="1" ht="15" customHeight="1">
      <c r="A241" s="1699"/>
      <c r="B241" s="1700"/>
      <c r="C241" s="1700"/>
      <c r="D241" s="1700"/>
      <c r="E241" s="1700"/>
      <c r="F241" s="1395"/>
      <c r="G241" s="1396"/>
      <c r="H241" s="1451" t="s">
        <v>186</v>
      </c>
      <c r="I241" s="1451"/>
      <c r="J241" s="1451"/>
      <c r="K241" s="1451"/>
      <c r="L241" s="1451"/>
      <c r="M241" s="1451"/>
      <c r="N241" s="1451"/>
      <c r="O241" s="1451"/>
      <c r="P241" s="1451"/>
      <c r="Q241" s="1451"/>
      <c r="R241" s="1451"/>
      <c r="S241" s="1451"/>
      <c r="T241" s="1451"/>
      <c r="U241" s="1451"/>
      <c r="V241" s="1451"/>
      <c r="W241" s="1451"/>
      <c r="X241" s="1451"/>
      <c r="Y241" s="1451"/>
      <c r="Z241" s="1451"/>
      <c r="AA241" s="1451"/>
      <c r="AB241" s="1805"/>
      <c r="AC241" s="1805"/>
      <c r="AD241" s="1451" t="s">
        <v>185</v>
      </c>
      <c r="AE241" s="1451"/>
      <c r="AF241" s="1766"/>
      <c r="AG241" s="1767"/>
      <c r="AJ241" s="94">
        <f>IFERROR(VLOOKUP($AB$241,$AL$3:$AM$14,2,FALSE),13)</f>
        <v>13</v>
      </c>
    </row>
    <row r="242" spans="1:67" s="91" customFormat="1" ht="15" customHeight="1">
      <c r="A242" s="1448" t="s">
        <v>48</v>
      </c>
      <c r="B242" s="1449"/>
      <c r="C242" s="1449"/>
      <c r="D242" s="1449"/>
      <c r="E242" s="1584"/>
      <c r="F242" s="1740" t="s">
        <v>953</v>
      </c>
      <c r="G242" s="1662"/>
      <c r="H242" s="1662"/>
      <c r="I242" s="1662"/>
      <c r="J242" s="1662"/>
      <c r="K242" s="1662"/>
      <c r="L242" s="1662"/>
      <c r="M242" s="1662"/>
      <c r="N242" s="1662"/>
      <c r="O242" s="1662"/>
      <c r="P242" s="1662"/>
      <c r="Q242" s="1662"/>
      <c r="R242" s="1662"/>
      <c r="S242" s="1662"/>
      <c r="T242" s="1662"/>
      <c r="U242" s="1662"/>
      <c r="V242" s="1662"/>
      <c r="W242" s="1662"/>
      <c r="X242" s="1662"/>
      <c r="Y242" s="1662"/>
      <c r="Z242" s="1662"/>
      <c r="AA242" s="1662"/>
      <c r="AB242" s="1662"/>
      <c r="AC242" s="1662"/>
      <c r="AD242" s="1662"/>
      <c r="AE242" s="1662"/>
      <c r="AF242" s="1662"/>
      <c r="AG242" s="1741"/>
      <c r="AH242" s="104"/>
      <c r="AM242" s="89"/>
    </row>
    <row r="243" spans="1:67" s="91" customFormat="1" ht="39.950000000000003" customHeight="1">
      <c r="A243" s="1450"/>
      <c r="B243" s="1451"/>
      <c r="C243" s="1451"/>
      <c r="D243" s="1451"/>
      <c r="E243" s="1518"/>
      <c r="F243" s="1403" t="s">
        <v>863</v>
      </c>
      <c r="G243" s="1346"/>
      <c r="H243" s="1346"/>
      <c r="I243" s="1346"/>
      <c r="J243" s="1346"/>
      <c r="K243" s="1346"/>
      <c r="L243" s="1346"/>
      <c r="M243" s="1346"/>
      <c r="N243" s="1346"/>
      <c r="O243" s="1346"/>
      <c r="P243" s="1346"/>
      <c r="Q243" s="1346"/>
      <c r="R243" s="1346"/>
      <c r="S243" s="1346"/>
      <c r="T243" s="1346"/>
      <c r="U243" s="1346"/>
      <c r="V243" s="1346"/>
      <c r="W243" s="1346"/>
      <c r="X243" s="1346"/>
      <c r="Y243" s="1346"/>
      <c r="Z243" s="1346"/>
      <c r="AA243" s="1346"/>
      <c r="AB243" s="1346"/>
      <c r="AC243" s="1346"/>
      <c r="AD243" s="1346"/>
      <c r="AE243" s="1346"/>
      <c r="AF243" s="1346"/>
      <c r="AG243" s="1404"/>
      <c r="AH243" s="104"/>
    </row>
    <row r="244" spans="1:67" s="91" customFormat="1" ht="189.95" customHeight="1">
      <c r="A244" s="1452"/>
      <c r="B244" s="1453"/>
      <c r="C244" s="1453"/>
      <c r="D244" s="1453"/>
      <c r="E244" s="1783"/>
      <c r="F244" s="1548" t="s">
        <v>861</v>
      </c>
      <c r="G244" s="1516"/>
      <c r="H244" s="1516"/>
      <c r="I244" s="1516"/>
      <c r="J244" s="1516"/>
      <c r="K244" s="1516"/>
      <c r="L244" s="1516"/>
      <c r="M244" s="1516"/>
      <c r="N244" s="1516"/>
      <c r="O244" s="1516"/>
      <c r="P244" s="1516"/>
      <c r="Q244" s="1516"/>
      <c r="R244" s="1516"/>
      <c r="S244" s="1516"/>
      <c r="T244" s="1516"/>
      <c r="U244" s="1516"/>
      <c r="V244" s="1516"/>
      <c r="W244" s="1516"/>
      <c r="X244" s="1516"/>
      <c r="Y244" s="1516"/>
      <c r="Z244" s="1516"/>
      <c r="AA244" s="1516"/>
      <c r="AB244" s="1516"/>
      <c r="AC244" s="1516"/>
      <c r="AD244" s="1516"/>
      <c r="AE244" s="1516"/>
      <c r="AF244" s="1516"/>
      <c r="AG244" s="1549"/>
      <c r="AH244" s="104"/>
    </row>
    <row r="245" spans="1:67" s="91" customFormat="1" ht="24.95" customHeight="1">
      <c r="A245" s="1725" t="s">
        <v>489</v>
      </c>
      <c r="B245" s="1725"/>
      <c r="C245" s="1725"/>
      <c r="D245" s="1725"/>
      <c r="E245" s="1725"/>
      <c r="F245" s="1725"/>
      <c r="G245" s="1725"/>
      <c r="H245" s="1725"/>
      <c r="I245" s="1725"/>
      <c r="J245" s="1725"/>
      <c r="K245" s="1725"/>
      <c r="L245" s="1725"/>
      <c r="M245" s="1725"/>
      <c r="N245" s="1725"/>
      <c r="O245" s="1725"/>
      <c r="P245" s="1725"/>
      <c r="Q245" s="1725"/>
      <c r="R245" s="1725"/>
      <c r="S245" s="1725"/>
      <c r="T245" s="1725"/>
      <c r="U245" s="1725"/>
      <c r="V245" s="1725"/>
      <c r="W245" s="1725"/>
      <c r="X245" s="1725"/>
      <c r="Y245" s="1725"/>
      <c r="Z245" s="1725"/>
      <c r="AA245" s="1725"/>
      <c r="AB245" s="1725"/>
      <c r="AC245" s="1725"/>
      <c r="AD245" s="1725"/>
      <c r="AE245" s="1725"/>
      <c r="AF245" s="1725"/>
      <c r="AG245" s="1725"/>
      <c r="AH245" s="104"/>
      <c r="AN245" s="95"/>
      <c r="AO245" s="95"/>
      <c r="AP245" s="95"/>
      <c r="AQ245" s="95"/>
      <c r="AR245" s="95"/>
      <c r="AS245" s="95"/>
      <c r="AT245" s="95"/>
      <c r="AU245" s="95"/>
      <c r="AV245" s="95"/>
      <c r="AW245" s="95"/>
      <c r="AX245" s="95"/>
      <c r="AY245" s="95"/>
      <c r="AZ245" s="95"/>
      <c r="BA245" s="95"/>
      <c r="BB245" s="95"/>
      <c r="BC245" s="95"/>
      <c r="BD245" s="95"/>
      <c r="BE245" s="95"/>
      <c r="BF245" s="95"/>
      <c r="BG245" s="95"/>
      <c r="BH245" s="95"/>
      <c r="BI245" s="95"/>
      <c r="BJ245" s="95"/>
      <c r="BK245" s="95"/>
      <c r="BL245" s="95"/>
      <c r="BM245" s="95"/>
      <c r="BN245" s="95"/>
      <c r="BO245" s="95"/>
    </row>
    <row r="246" spans="1:67" s="91" customFormat="1" ht="24.95" hidden="1" customHeight="1">
      <c r="A246" s="1337" t="s">
        <v>1130</v>
      </c>
      <c r="B246" s="1337"/>
      <c r="C246" s="1337"/>
      <c r="D246" s="1337"/>
      <c r="E246" s="1337"/>
      <c r="F246" s="1337"/>
      <c r="G246" s="1337"/>
      <c r="H246" s="1337"/>
      <c r="I246" s="1337"/>
      <c r="J246" s="1337"/>
      <c r="K246" s="1337"/>
      <c r="L246" s="1337"/>
      <c r="M246" s="1337"/>
      <c r="N246" s="1337"/>
      <c r="O246" s="1337"/>
      <c r="P246" s="1337"/>
      <c r="Q246" s="1337"/>
      <c r="R246" s="1337"/>
      <c r="S246" s="1337"/>
      <c r="T246" s="1337"/>
      <c r="U246" s="1337"/>
      <c r="V246" s="1337"/>
      <c r="W246" s="1337"/>
      <c r="X246" s="1337"/>
      <c r="Y246" s="1337"/>
      <c r="Z246" s="1337"/>
      <c r="AA246" s="1337"/>
      <c r="AB246" s="1337"/>
      <c r="AC246" s="1337"/>
      <c r="AD246" s="1337"/>
      <c r="AE246" s="1337"/>
      <c r="AF246" s="1337"/>
      <c r="AG246" s="1337"/>
      <c r="AH246" s="104"/>
      <c r="AN246" s="95"/>
      <c r="AO246" s="95"/>
      <c r="AP246" s="95"/>
      <c r="AQ246" s="95"/>
      <c r="AR246" s="95"/>
      <c r="AS246" s="95"/>
      <c r="AT246" s="95"/>
      <c r="AU246" s="95"/>
      <c r="AV246" s="95"/>
      <c r="AW246" s="95"/>
      <c r="AX246" s="95"/>
      <c r="AY246" s="95"/>
      <c r="AZ246" s="95"/>
      <c r="BA246" s="95"/>
      <c r="BB246" s="95"/>
      <c r="BC246" s="95"/>
      <c r="BD246" s="95"/>
      <c r="BE246" s="95"/>
      <c r="BF246" s="95"/>
      <c r="BG246" s="95"/>
      <c r="BH246" s="95"/>
      <c r="BI246" s="95"/>
      <c r="BJ246" s="95"/>
      <c r="BK246" s="95"/>
      <c r="BL246" s="95"/>
      <c r="BM246" s="95"/>
      <c r="BN246" s="95"/>
      <c r="BO246" s="95"/>
    </row>
    <row r="247" spans="1:67" ht="15" customHeight="1" thickBot="1">
      <c r="A247" s="636"/>
      <c r="B247" s="636"/>
      <c r="C247" s="636"/>
      <c r="D247" s="636"/>
      <c r="E247" s="636"/>
      <c r="F247" s="636"/>
      <c r="G247" s="636"/>
      <c r="H247" s="636"/>
      <c r="I247" s="636"/>
      <c r="J247" s="636"/>
      <c r="K247" s="636"/>
      <c r="L247" s="636"/>
      <c r="M247" s="636"/>
      <c r="N247" s="636"/>
      <c r="O247" s="636"/>
      <c r="P247" s="636"/>
      <c r="Q247" s="636"/>
      <c r="R247" s="636"/>
      <c r="S247" s="636"/>
      <c r="T247" s="636"/>
      <c r="U247" s="636"/>
      <c r="V247" s="636"/>
      <c r="W247" s="636"/>
      <c r="X247" s="636"/>
      <c r="Y247" s="636"/>
      <c r="Z247" s="636"/>
      <c r="AA247" s="636"/>
      <c r="AB247" s="636"/>
      <c r="AC247" s="636"/>
      <c r="AD247" s="636"/>
      <c r="AE247" s="636"/>
      <c r="AF247" s="636"/>
      <c r="AG247" s="636"/>
      <c r="AI247" s="91"/>
      <c r="AJ247" s="91"/>
      <c r="AK247" s="91"/>
      <c r="AL247" s="91"/>
      <c r="AM247" s="91"/>
    </row>
    <row r="248" spans="1:67" ht="15" customHeight="1" thickBot="1">
      <c r="A248" s="1562" t="s">
        <v>480</v>
      </c>
      <c r="B248" s="1562"/>
      <c r="C248" s="1562"/>
      <c r="D248" s="1562"/>
      <c r="E248" s="1562"/>
      <c r="F248" s="1562"/>
      <c r="G248" s="1562"/>
      <c r="H248" s="1562"/>
      <c r="I248" s="1562"/>
      <c r="J248" s="1405" t="str">
        <f>IF(AND(AI249,AI251,AI252,AI253,AI254),AI255,"×")</f>
        <v>×</v>
      </c>
      <c r="K248" s="1406"/>
      <c r="L248" s="1406"/>
      <c r="M248" s="1406"/>
      <c r="N248" s="1407"/>
      <c r="O248" s="1471" t="s">
        <v>209</v>
      </c>
      <c r="P248" s="1393"/>
      <c r="Q248" s="1393"/>
      <c r="R248" s="917"/>
      <c r="S248" s="917"/>
      <c r="T248" s="917"/>
      <c r="U248" s="917"/>
      <c r="V248" s="636"/>
      <c r="W248" s="636"/>
      <c r="X248" s="636"/>
      <c r="Y248" s="636"/>
      <c r="Z248" s="636"/>
      <c r="AA248" s="636"/>
      <c r="AB248" s="636"/>
      <c r="AC248" s="636"/>
      <c r="AD248" s="636"/>
      <c r="AE248" s="636"/>
      <c r="AF248" s="601"/>
      <c r="AG248" s="601"/>
    </row>
    <row r="249" spans="1:67" ht="15" customHeight="1">
      <c r="A249" s="1399" t="s">
        <v>115</v>
      </c>
      <c r="B249" s="1399"/>
      <c r="C249" s="1399"/>
      <c r="D249" s="1399"/>
      <c r="E249" s="1399"/>
      <c r="F249" s="1603"/>
      <c r="G249" s="1603"/>
      <c r="H249" s="1603"/>
      <c r="I249" s="1603"/>
      <c r="J249" s="1604"/>
      <c r="K249" s="1604"/>
      <c r="L249" s="601"/>
      <c r="M249" s="601"/>
      <c r="N249" s="601"/>
      <c r="O249" s="601"/>
      <c r="P249" s="601"/>
      <c r="Q249" s="601"/>
      <c r="R249" s="601"/>
      <c r="S249" s="601"/>
      <c r="T249" s="601"/>
      <c r="U249" s="601"/>
      <c r="V249" s="601"/>
      <c r="W249" s="601"/>
      <c r="X249" s="601"/>
      <c r="Y249" s="601"/>
      <c r="Z249" s="601"/>
      <c r="AA249" s="601"/>
      <c r="AB249" s="601"/>
      <c r="AC249" s="601"/>
      <c r="AD249" s="601"/>
      <c r="AE249" s="601"/>
      <c r="AF249" s="601"/>
      <c r="AG249" s="601"/>
      <c r="AH249" s="95"/>
      <c r="AI249" s="914" t="b">
        <f>F249="申請する"</f>
        <v>0</v>
      </c>
    </row>
    <row r="250" spans="1:67" ht="15" customHeight="1">
      <c r="A250" s="1411" t="s">
        <v>475</v>
      </c>
      <c r="B250" s="1412"/>
      <c r="C250" s="1412"/>
      <c r="D250" s="1412"/>
      <c r="E250" s="1412"/>
      <c r="F250" s="1398" t="s">
        <v>99</v>
      </c>
      <c r="G250" s="1399"/>
      <c r="H250" s="1399"/>
      <c r="I250" s="1399"/>
      <c r="J250" s="1399"/>
      <c r="K250" s="1399"/>
      <c r="L250" s="1399"/>
      <c r="M250" s="1399"/>
      <c r="N250" s="1399"/>
      <c r="O250" s="1399"/>
      <c r="P250" s="1399"/>
      <c r="Q250" s="1399"/>
      <c r="R250" s="1399"/>
      <c r="S250" s="1399"/>
      <c r="T250" s="1399"/>
      <c r="U250" s="1399"/>
      <c r="V250" s="1399"/>
      <c r="W250" s="1399"/>
      <c r="X250" s="1399"/>
      <c r="Y250" s="1399"/>
      <c r="Z250" s="1399"/>
      <c r="AA250" s="1399" t="s">
        <v>210</v>
      </c>
      <c r="AB250" s="1399"/>
      <c r="AC250" s="1399"/>
      <c r="AD250" s="1399"/>
      <c r="AE250" s="917"/>
      <c r="AF250" s="601"/>
      <c r="AG250" s="601"/>
    </row>
    <row r="251" spans="1:67" ht="15" customHeight="1">
      <c r="A251" s="1414"/>
      <c r="B251" s="1415"/>
      <c r="C251" s="1415"/>
      <c r="D251" s="1415"/>
      <c r="E251" s="1415"/>
      <c r="F251" s="726">
        <v>1</v>
      </c>
      <c r="G251" s="1400" t="s">
        <v>640</v>
      </c>
      <c r="H251" s="1400"/>
      <c r="I251" s="1400"/>
      <c r="J251" s="1400"/>
      <c r="K251" s="1400"/>
      <c r="L251" s="1400"/>
      <c r="M251" s="1400"/>
      <c r="N251" s="1400"/>
      <c r="O251" s="1400"/>
      <c r="P251" s="1400"/>
      <c r="Q251" s="1400"/>
      <c r="R251" s="1400"/>
      <c r="S251" s="1400"/>
      <c r="T251" s="1400"/>
      <c r="U251" s="1400"/>
      <c r="V251" s="1400"/>
      <c r="W251" s="1400"/>
      <c r="X251" s="1400"/>
      <c r="Y251" s="1400"/>
      <c r="Z251" s="1401"/>
      <c r="AA251" s="1402" t="str">
        <f>IF(J222="","×",J222)</f>
        <v>×</v>
      </c>
      <c r="AB251" s="1377"/>
      <c r="AC251" s="1377"/>
      <c r="AD251" s="1378"/>
      <c r="AE251" s="917"/>
      <c r="AF251" s="601"/>
      <c r="AG251" s="601"/>
      <c r="AI251" s="172" t="b">
        <f>AA251="○"</f>
        <v>0</v>
      </c>
    </row>
    <row r="252" spans="1:67" ht="15" customHeight="1">
      <c r="A252" s="1414"/>
      <c r="B252" s="1415"/>
      <c r="C252" s="1415"/>
      <c r="D252" s="1415"/>
      <c r="E252" s="1415"/>
      <c r="F252" s="932">
        <v>2</v>
      </c>
      <c r="G252" s="1807" t="s">
        <v>956</v>
      </c>
      <c r="H252" s="1807"/>
      <c r="I252" s="1807"/>
      <c r="J252" s="1807"/>
      <c r="K252" s="1807"/>
      <c r="L252" s="1807"/>
      <c r="M252" s="1807"/>
      <c r="N252" s="1807"/>
      <c r="O252" s="1807"/>
      <c r="P252" s="1807"/>
      <c r="Q252" s="1807"/>
      <c r="R252" s="1807"/>
      <c r="S252" s="1807"/>
      <c r="T252" s="1807"/>
      <c r="U252" s="1807"/>
      <c r="V252" s="1807"/>
      <c r="W252" s="1807"/>
      <c r="X252" s="1807"/>
      <c r="Y252" s="1807"/>
      <c r="Z252" s="1808"/>
      <c r="AA252" s="1592" t="str">
        <f>【様式５】職員数算出表!O68</f>
        <v>-</v>
      </c>
      <c r="AB252" s="1592"/>
      <c r="AC252" s="1592"/>
      <c r="AD252" s="1592"/>
      <c r="AE252" s="917"/>
      <c r="AF252" s="601"/>
      <c r="AG252" s="601"/>
      <c r="AI252" s="172" t="b">
        <f>AA252="○"</f>
        <v>0</v>
      </c>
    </row>
    <row r="253" spans="1:67" ht="24.95" customHeight="1">
      <c r="A253" s="1414"/>
      <c r="B253" s="1415"/>
      <c r="C253" s="1415"/>
      <c r="D253" s="1415"/>
      <c r="E253" s="1415"/>
      <c r="F253" s="932">
        <v>3</v>
      </c>
      <c r="G253" s="1400" t="s">
        <v>641</v>
      </c>
      <c r="H253" s="1400"/>
      <c r="I253" s="1400"/>
      <c r="J253" s="1400"/>
      <c r="K253" s="1400"/>
      <c r="L253" s="1400"/>
      <c r="M253" s="1400"/>
      <c r="N253" s="1400"/>
      <c r="O253" s="1400"/>
      <c r="P253" s="1400"/>
      <c r="Q253" s="1400"/>
      <c r="R253" s="1400"/>
      <c r="S253" s="1400"/>
      <c r="T253" s="1400"/>
      <c r="U253" s="1400"/>
      <c r="V253" s="1400"/>
      <c r="W253" s="1400"/>
      <c r="X253" s="1400"/>
      <c r="Y253" s="1400"/>
      <c r="Z253" s="1400"/>
      <c r="AA253" s="1503"/>
      <c r="AB253" s="1504"/>
      <c r="AC253" s="1504"/>
      <c r="AD253" s="1505"/>
      <c r="AE253" s="917"/>
      <c r="AF253" s="601"/>
      <c r="AG253" s="601"/>
      <c r="AI253" s="172" t="b">
        <f>AA253="○"</f>
        <v>0</v>
      </c>
    </row>
    <row r="254" spans="1:67" ht="15" customHeight="1">
      <c r="A254" s="1414"/>
      <c r="B254" s="1415"/>
      <c r="C254" s="1415"/>
      <c r="D254" s="1415"/>
      <c r="E254" s="1415"/>
      <c r="F254" s="927">
        <v>4</v>
      </c>
      <c r="G254" s="1698" t="s">
        <v>474</v>
      </c>
      <c r="H254" s="1698"/>
      <c r="I254" s="1698"/>
      <c r="J254" s="1698"/>
      <c r="K254" s="1698"/>
      <c r="L254" s="1698"/>
      <c r="M254" s="1698"/>
      <c r="N254" s="1698"/>
      <c r="O254" s="1698"/>
      <c r="P254" s="1698"/>
      <c r="Q254" s="1698"/>
      <c r="R254" s="1698"/>
      <c r="S254" s="1698"/>
      <c r="T254" s="1698"/>
      <c r="U254" s="1698"/>
      <c r="V254" s="1698"/>
      <c r="W254" s="1698"/>
      <c r="X254" s="1698"/>
      <c r="Y254" s="1698"/>
      <c r="Z254" s="1698"/>
      <c r="AA254" s="1389" t="str">
        <f>IF(SUM(U255:X256)&gt;0,"○","×")</f>
        <v>×</v>
      </c>
      <c r="AB254" s="1390"/>
      <c r="AC254" s="1390"/>
      <c r="AD254" s="1391"/>
      <c r="AE254" s="917"/>
      <c r="AF254" s="601"/>
      <c r="AG254" s="601"/>
      <c r="AI254" s="172" t="b">
        <f>AA254="○"</f>
        <v>0</v>
      </c>
    </row>
    <row r="255" spans="1:67" ht="15" customHeight="1">
      <c r="A255" s="1414"/>
      <c r="B255" s="1415"/>
      <c r="C255" s="1415"/>
      <c r="D255" s="1415"/>
      <c r="E255" s="1415"/>
      <c r="F255" s="1435" t="s">
        <v>136</v>
      </c>
      <c r="G255" s="1436"/>
      <c r="H255" s="1588" t="s">
        <v>64</v>
      </c>
      <c r="I255" s="1588"/>
      <c r="J255" s="1588"/>
      <c r="K255" s="1588"/>
      <c r="L255" s="1588"/>
      <c r="M255" s="1588"/>
      <c r="N255" s="1588"/>
      <c r="O255" s="1588"/>
      <c r="P255" s="1588"/>
      <c r="Q255" s="1588"/>
      <c r="R255" s="1588"/>
      <c r="S255" s="1588"/>
      <c r="T255" s="1588"/>
      <c r="U255" s="1800"/>
      <c r="V255" s="1800"/>
      <c r="W255" s="1800"/>
      <c r="X255" s="1800"/>
      <c r="Y255" s="1720" t="s">
        <v>28</v>
      </c>
      <c r="Z255" s="1790"/>
      <c r="AA255" s="1392"/>
      <c r="AB255" s="1393"/>
      <c r="AC255" s="1393"/>
      <c r="AD255" s="1394"/>
      <c r="AE255" s="917"/>
      <c r="AF255" s="601"/>
      <c r="AG255" s="601"/>
      <c r="AI255" s="1335" t="str">
        <f>IF(U255&gt;0,"特児",IF(U256&gt;0,"その他",""))</f>
        <v/>
      </c>
    </row>
    <row r="256" spans="1:67" ht="15" customHeight="1">
      <c r="A256" s="1417"/>
      <c r="B256" s="1418"/>
      <c r="C256" s="1418"/>
      <c r="D256" s="1418"/>
      <c r="E256" s="1418"/>
      <c r="F256" s="1617" t="s">
        <v>87</v>
      </c>
      <c r="G256" s="1618"/>
      <c r="H256" s="1388" t="s">
        <v>476</v>
      </c>
      <c r="I256" s="1388"/>
      <c r="J256" s="1388"/>
      <c r="K256" s="1388"/>
      <c r="L256" s="1388"/>
      <c r="M256" s="1388"/>
      <c r="N256" s="1388"/>
      <c r="O256" s="1388"/>
      <c r="P256" s="1388"/>
      <c r="Q256" s="1388"/>
      <c r="R256" s="1388"/>
      <c r="S256" s="1388"/>
      <c r="T256" s="1388"/>
      <c r="U256" s="1724"/>
      <c r="V256" s="1724"/>
      <c r="W256" s="1724"/>
      <c r="X256" s="1724"/>
      <c r="Y256" s="1778" t="s">
        <v>28</v>
      </c>
      <c r="Z256" s="1802"/>
      <c r="AA256" s="1395"/>
      <c r="AB256" s="1396"/>
      <c r="AC256" s="1396"/>
      <c r="AD256" s="1397"/>
      <c r="AE256" s="917"/>
      <c r="AF256" s="601"/>
      <c r="AG256" s="601"/>
      <c r="AI256" s="1427"/>
    </row>
    <row r="257" spans="1:67" ht="24.95" customHeight="1">
      <c r="A257" s="1341" t="s">
        <v>48</v>
      </c>
      <c r="B257" s="1341"/>
      <c r="C257" s="1341"/>
      <c r="D257" s="1341"/>
      <c r="E257" s="1341"/>
      <c r="F257" s="1605" t="s">
        <v>862</v>
      </c>
      <c r="G257" s="1486"/>
      <c r="H257" s="1486"/>
      <c r="I257" s="1486"/>
      <c r="J257" s="1486"/>
      <c r="K257" s="1486"/>
      <c r="L257" s="1486"/>
      <c r="M257" s="1486"/>
      <c r="N257" s="1486"/>
      <c r="O257" s="1486"/>
      <c r="P257" s="1486"/>
      <c r="Q257" s="1486"/>
      <c r="R257" s="1486"/>
      <c r="S257" s="1486"/>
      <c r="T257" s="1486"/>
      <c r="U257" s="1486"/>
      <c r="V257" s="1486"/>
      <c r="W257" s="1486"/>
      <c r="X257" s="1486"/>
      <c r="Y257" s="1486"/>
      <c r="Z257" s="1486"/>
      <c r="AA257" s="1486"/>
      <c r="AB257" s="1486"/>
      <c r="AC257" s="1486"/>
      <c r="AD257" s="1486"/>
      <c r="AE257" s="727"/>
      <c r="AF257" s="714"/>
      <c r="AG257" s="636"/>
      <c r="AI257" s="90"/>
      <c r="AJ257" s="90"/>
      <c r="AK257" s="90"/>
      <c r="AL257" s="90"/>
      <c r="AM257" s="90"/>
    </row>
    <row r="258" spans="1:67" ht="24.95" customHeight="1">
      <c r="A258" s="1341"/>
      <c r="B258" s="1341"/>
      <c r="C258" s="1341"/>
      <c r="D258" s="1341"/>
      <c r="E258" s="1341"/>
      <c r="F258" s="1403" t="s">
        <v>71</v>
      </c>
      <c r="G258" s="1346"/>
      <c r="H258" s="1346"/>
      <c r="I258" s="1346"/>
      <c r="J258" s="1346"/>
      <c r="K258" s="1346"/>
      <c r="L258" s="1346"/>
      <c r="M258" s="1346"/>
      <c r="N258" s="1346"/>
      <c r="O258" s="1346"/>
      <c r="P258" s="1346"/>
      <c r="Q258" s="1346"/>
      <c r="R258" s="1346"/>
      <c r="S258" s="1346"/>
      <c r="T258" s="1346"/>
      <c r="U258" s="1346"/>
      <c r="V258" s="1346"/>
      <c r="W258" s="1346"/>
      <c r="X258" s="1346"/>
      <c r="Y258" s="1346"/>
      <c r="Z258" s="1346"/>
      <c r="AA258" s="1346"/>
      <c r="AB258" s="1346"/>
      <c r="AC258" s="1346"/>
      <c r="AD258" s="1346"/>
      <c r="AE258" s="727"/>
      <c r="AF258" s="714"/>
      <c r="AG258" s="636"/>
      <c r="AI258" s="90"/>
      <c r="AJ258" s="90"/>
      <c r="AK258" s="90"/>
      <c r="AL258" s="90"/>
      <c r="AM258" s="90"/>
    </row>
    <row r="259" spans="1:67" s="1056" customFormat="1" ht="140.1" customHeight="1">
      <c r="A259" s="1341"/>
      <c r="B259" s="1341"/>
      <c r="C259" s="1341"/>
      <c r="D259" s="1341"/>
      <c r="E259" s="1341"/>
      <c r="F259" s="1785" t="s">
        <v>1146</v>
      </c>
      <c r="G259" s="1786"/>
      <c r="H259" s="1786"/>
      <c r="I259" s="1786"/>
      <c r="J259" s="1786"/>
      <c r="K259" s="1786"/>
      <c r="L259" s="1786"/>
      <c r="M259" s="1786"/>
      <c r="N259" s="1786"/>
      <c r="O259" s="1786"/>
      <c r="P259" s="1786"/>
      <c r="Q259" s="1786"/>
      <c r="R259" s="1786"/>
      <c r="S259" s="1786"/>
      <c r="T259" s="1786"/>
      <c r="U259" s="1786"/>
      <c r="V259" s="1786"/>
      <c r="W259" s="1786"/>
      <c r="X259" s="1786"/>
      <c r="Y259" s="1786"/>
      <c r="Z259" s="1786"/>
      <c r="AA259" s="1786"/>
      <c r="AB259" s="1786"/>
      <c r="AC259" s="1786"/>
      <c r="AD259" s="1786"/>
      <c r="AE259" s="1051"/>
      <c r="AF259" s="1052"/>
      <c r="AG259" s="1053"/>
      <c r="AH259" s="1054"/>
      <c r="AI259" s="1055"/>
      <c r="AJ259" s="1055"/>
      <c r="AK259" s="1055"/>
      <c r="AL259" s="1055"/>
      <c r="AM259" s="1055"/>
      <c r="AV259" s="1055"/>
      <c r="AW259" s="1055"/>
      <c r="AX259" s="1055"/>
      <c r="AY259" s="1055"/>
      <c r="AZ259" s="1055"/>
      <c r="BA259" s="1055"/>
      <c r="BB259" s="1055"/>
      <c r="BC259" s="1055"/>
      <c r="BD259" s="1055"/>
      <c r="BE259" s="1055"/>
      <c r="BF259" s="1055"/>
      <c r="BG259" s="1055"/>
      <c r="BH259" s="1055"/>
      <c r="BI259" s="1055"/>
      <c r="BJ259" s="1055"/>
      <c r="BK259" s="1055"/>
      <c r="BL259" s="1055"/>
      <c r="BM259" s="1055"/>
      <c r="BN259" s="1055"/>
      <c r="BO259" s="1055"/>
    </row>
    <row r="260" spans="1:67" s="90" customFormat="1" ht="15" customHeight="1" thickBot="1">
      <c r="A260" s="920"/>
      <c r="B260" s="920"/>
      <c r="C260" s="920"/>
      <c r="D260" s="920"/>
      <c r="E260" s="920"/>
      <c r="F260" s="905"/>
      <c r="G260" s="905"/>
      <c r="H260" s="905"/>
      <c r="I260" s="905"/>
      <c r="J260" s="905"/>
      <c r="K260" s="905"/>
      <c r="L260" s="905"/>
      <c r="M260" s="905"/>
      <c r="N260" s="905"/>
      <c r="O260" s="905"/>
      <c r="P260" s="905"/>
      <c r="Q260" s="905"/>
      <c r="R260" s="905"/>
      <c r="S260" s="905"/>
      <c r="T260" s="905"/>
      <c r="U260" s="905"/>
      <c r="V260" s="905"/>
      <c r="W260" s="905"/>
      <c r="X260" s="905"/>
      <c r="Y260" s="905"/>
      <c r="Z260" s="905"/>
      <c r="AA260" s="905"/>
      <c r="AB260" s="905"/>
      <c r="AC260" s="905"/>
      <c r="AD260" s="905"/>
      <c r="AE260" s="601"/>
      <c r="AF260" s="601"/>
      <c r="AG260" s="601"/>
      <c r="AH260" s="104"/>
      <c r="AI260" s="95"/>
      <c r="AJ260" s="95"/>
      <c r="AK260" s="95"/>
      <c r="AL260" s="95"/>
      <c r="AM260" s="95"/>
    </row>
    <row r="261" spans="1:67" s="90" customFormat="1" ht="15" customHeight="1" thickBot="1">
      <c r="A261" s="1534" t="s">
        <v>481</v>
      </c>
      <c r="B261" s="1534"/>
      <c r="C261" s="1534"/>
      <c r="D261" s="1534"/>
      <c r="E261" s="1534"/>
      <c r="F261" s="1534"/>
      <c r="G261" s="1534"/>
      <c r="H261" s="1534"/>
      <c r="I261" s="1534"/>
      <c r="J261" s="1483" t="str">
        <f>IF(AND(AI262,AI264,AI268),"○","×")</f>
        <v>×</v>
      </c>
      <c r="K261" s="1484"/>
      <c r="L261" s="1484"/>
      <c r="M261" s="1484"/>
      <c r="N261" s="1485"/>
      <c r="O261" s="1471" t="s">
        <v>209</v>
      </c>
      <c r="P261" s="1393"/>
      <c r="Q261" s="1393"/>
      <c r="R261" s="917"/>
      <c r="S261" s="917"/>
      <c r="T261" s="917"/>
      <c r="U261" s="917"/>
      <c r="V261" s="636"/>
      <c r="W261" s="636"/>
      <c r="X261" s="636"/>
      <c r="Y261" s="636"/>
      <c r="Z261" s="636"/>
      <c r="AA261" s="636"/>
      <c r="AB261" s="636"/>
      <c r="AC261" s="636"/>
      <c r="AD261" s="636"/>
      <c r="AE261" s="917"/>
      <c r="AF261" s="601"/>
      <c r="AG261" s="601"/>
      <c r="AH261" s="104"/>
      <c r="AI261" s="95"/>
      <c r="AJ261" s="95"/>
      <c r="AK261" s="95"/>
      <c r="AL261" s="95"/>
      <c r="AM261" s="95"/>
      <c r="AN261" s="91"/>
      <c r="AO261" s="91"/>
      <c r="AP261" s="91"/>
      <c r="AQ261" s="91"/>
      <c r="AR261" s="91"/>
      <c r="AS261" s="91"/>
      <c r="AT261" s="91"/>
      <c r="AU261" s="91"/>
      <c r="AV261" s="91"/>
      <c r="AW261" s="91"/>
      <c r="AX261" s="91"/>
      <c r="AY261" s="91"/>
      <c r="AZ261" s="91"/>
      <c r="BA261" s="91"/>
      <c r="BB261" s="91"/>
      <c r="BC261" s="91"/>
      <c r="BD261" s="91"/>
      <c r="BE261" s="91"/>
      <c r="BF261" s="91"/>
      <c r="BG261" s="91"/>
      <c r="BH261" s="91"/>
      <c r="BI261" s="91"/>
      <c r="BJ261" s="91"/>
      <c r="BK261" s="91"/>
      <c r="BL261" s="91"/>
      <c r="BM261" s="91"/>
      <c r="BN261" s="91"/>
      <c r="BO261" s="91"/>
    </row>
    <row r="262" spans="1:67" s="91" customFormat="1" ht="15" customHeight="1">
      <c r="A262" s="1399" t="s">
        <v>115</v>
      </c>
      <c r="B262" s="1399"/>
      <c r="C262" s="1399"/>
      <c r="D262" s="1399"/>
      <c r="E262" s="1399"/>
      <c r="F262" s="1542"/>
      <c r="G262" s="1542"/>
      <c r="H262" s="1542"/>
      <c r="I262" s="1542"/>
      <c r="J262" s="1543"/>
      <c r="K262" s="1543"/>
      <c r="L262" s="601"/>
      <c r="M262" s="601"/>
      <c r="N262" s="601"/>
      <c r="O262" s="601"/>
      <c r="P262" s="601"/>
      <c r="Q262" s="601"/>
      <c r="R262" s="601"/>
      <c r="S262" s="601"/>
      <c r="T262" s="601"/>
      <c r="U262" s="601"/>
      <c r="V262" s="601"/>
      <c r="W262" s="601"/>
      <c r="X262" s="601"/>
      <c r="Y262" s="601"/>
      <c r="Z262" s="601"/>
      <c r="AA262" s="601"/>
      <c r="AB262" s="601"/>
      <c r="AC262" s="601"/>
      <c r="AD262" s="601"/>
      <c r="AE262" s="601"/>
      <c r="AF262" s="601"/>
      <c r="AG262" s="601"/>
      <c r="AH262" s="95"/>
      <c r="AI262" s="914" t="b">
        <f>F262="申請する"</f>
        <v>0</v>
      </c>
      <c r="AJ262" s="95"/>
      <c r="AK262" s="95"/>
      <c r="AL262" s="95"/>
      <c r="AM262" s="95"/>
    </row>
    <row r="263" spans="1:67" s="91" customFormat="1" ht="15" customHeight="1">
      <c r="A263" s="1448" t="s">
        <v>479</v>
      </c>
      <c r="B263" s="1449"/>
      <c r="C263" s="1449"/>
      <c r="D263" s="1449"/>
      <c r="E263" s="1584"/>
      <c r="F263" s="1457" t="s">
        <v>477</v>
      </c>
      <c r="G263" s="1455"/>
      <c r="H263" s="1455"/>
      <c r="I263" s="1455"/>
      <c r="J263" s="1455"/>
      <c r="K263" s="1455"/>
      <c r="L263" s="1455"/>
      <c r="M263" s="1455"/>
      <c r="N263" s="1455"/>
      <c r="O263" s="1455"/>
      <c r="P263" s="1455"/>
      <c r="Q263" s="1455"/>
      <c r="R263" s="1455"/>
      <c r="S263" s="1455"/>
      <c r="T263" s="1455"/>
      <c r="U263" s="1455"/>
      <c r="V263" s="1455"/>
      <c r="W263" s="1455"/>
      <c r="X263" s="1455"/>
      <c r="Y263" s="1455"/>
      <c r="Z263" s="1455"/>
      <c r="AA263" s="1455"/>
      <c r="AB263" s="1455"/>
      <c r="AC263" s="1398"/>
      <c r="AD263" s="1399" t="s">
        <v>210</v>
      </c>
      <c r="AE263" s="1399"/>
      <c r="AF263" s="1399"/>
      <c r="AG263" s="1399"/>
      <c r="AH263" s="95"/>
      <c r="AI263" s="185"/>
      <c r="AJ263" s="95"/>
      <c r="AK263" s="95"/>
      <c r="AL263" s="95"/>
      <c r="AM263" s="95"/>
    </row>
    <row r="264" spans="1:67" s="91" customFormat="1" ht="24.95" customHeight="1">
      <c r="A264" s="1450"/>
      <c r="B264" s="1451"/>
      <c r="C264" s="1451"/>
      <c r="D264" s="1451"/>
      <c r="E264" s="1518"/>
      <c r="F264" s="921">
        <v>1</v>
      </c>
      <c r="G264" s="1486" t="s">
        <v>691</v>
      </c>
      <c r="H264" s="1486"/>
      <c r="I264" s="1486"/>
      <c r="J264" s="1486"/>
      <c r="K264" s="1486"/>
      <c r="L264" s="1486"/>
      <c r="M264" s="1486"/>
      <c r="N264" s="1486"/>
      <c r="O264" s="1486"/>
      <c r="P264" s="1486"/>
      <c r="Q264" s="1486"/>
      <c r="R264" s="1486"/>
      <c r="S264" s="1486"/>
      <c r="T264" s="1486"/>
      <c r="U264" s="1486"/>
      <c r="V264" s="1486"/>
      <c r="W264" s="1486"/>
      <c r="X264" s="1486"/>
      <c r="Y264" s="1486"/>
      <c r="Z264" s="1486"/>
      <c r="AA264" s="1486"/>
      <c r="AB264" s="1486"/>
      <c r="AC264" s="1519"/>
      <c r="AD264" s="1448" t="str">
        <f>【様式５】職員数算出表!O65</f>
        <v>-</v>
      </c>
      <c r="AE264" s="1449"/>
      <c r="AF264" s="1449"/>
      <c r="AG264" s="1584"/>
      <c r="AH264" s="104"/>
      <c r="AI264" s="172" t="b">
        <f>AD264="○"</f>
        <v>0</v>
      </c>
    </row>
    <row r="265" spans="1:67" s="91" customFormat="1" ht="15" customHeight="1">
      <c r="A265" s="1450"/>
      <c r="B265" s="1451"/>
      <c r="C265" s="1451"/>
      <c r="D265" s="1451"/>
      <c r="E265" s="1518"/>
      <c r="F265" s="1435" t="s">
        <v>136</v>
      </c>
      <c r="G265" s="1436"/>
      <c r="H265" s="1588" t="s">
        <v>450</v>
      </c>
      <c r="I265" s="1588"/>
      <c r="J265" s="1588"/>
      <c r="K265" s="1588"/>
      <c r="L265" s="1588"/>
      <c r="M265" s="1588"/>
      <c r="N265" s="1588"/>
      <c r="O265" s="1588"/>
      <c r="P265" s="1588"/>
      <c r="Q265" s="1588"/>
      <c r="R265" s="1588"/>
      <c r="S265" s="1588"/>
      <c r="T265" s="1588"/>
      <c r="U265" s="1588"/>
      <c r="V265" s="1588"/>
      <c r="W265" s="1588"/>
      <c r="X265" s="1588"/>
      <c r="Y265" s="1588"/>
      <c r="Z265" s="1588"/>
      <c r="AA265" s="1588"/>
      <c r="AB265" s="1588"/>
      <c r="AC265" s="1588"/>
      <c r="AD265" s="1753" t="str">
        <f>CONCATENATE(AA57)</f>
        <v/>
      </c>
      <c r="AE265" s="1436"/>
      <c r="AF265" s="1436"/>
      <c r="AG265" s="1437"/>
      <c r="AH265" s="104"/>
      <c r="AI265" s="914" t="b">
        <f>AD265="○"</f>
        <v>0</v>
      </c>
    </row>
    <row r="266" spans="1:67" s="91" customFormat="1" ht="15" customHeight="1">
      <c r="A266" s="1450"/>
      <c r="B266" s="1451"/>
      <c r="C266" s="1451"/>
      <c r="D266" s="1451"/>
      <c r="E266" s="1518"/>
      <c r="F266" s="1435" t="s">
        <v>87</v>
      </c>
      <c r="G266" s="1436"/>
      <c r="H266" s="1655" t="s">
        <v>970</v>
      </c>
      <c r="I266" s="1655"/>
      <c r="J266" s="1655"/>
      <c r="K266" s="1655"/>
      <c r="L266" s="1655"/>
      <c r="M266" s="1655"/>
      <c r="N266" s="1655"/>
      <c r="O266" s="1655"/>
      <c r="P266" s="1655"/>
      <c r="Q266" s="1655"/>
      <c r="R266" s="1655"/>
      <c r="S266" s="1655"/>
      <c r="T266" s="1655"/>
      <c r="U266" s="1655"/>
      <c r="V266" s="1655"/>
      <c r="W266" s="1655"/>
      <c r="X266" s="1655"/>
      <c r="Y266" s="1655"/>
      <c r="Z266" s="1655"/>
      <c r="AA266" s="1655"/>
      <c r="AB266" s="1655"/>
      <c r="AC266" s="1655"/>
      <c r="AD266" s="1753" t="str">
        <f>CONCATENATE(AA58)</f>
        <v/>
      </c>
      <c r="AE266" s="1436"/>
      <c r="AF266" s="1436"/>
      <c r="AG266" s="1437"/>
      <c r="AH266" s="104"/>
      <c r="AI266" s="914" t="b">
        <f t="shared" ref="AI266:AI267" si="15">AD266="○"</f>
        <v>0</v>
      </c>
    </row>
    <row r="267" spans="1:67" s="91" customFormat="1" ht="15" customHeight="1">
      <c r="A267" s="1450"/>
      <c r="B267" s="1451"/>
      <c r="C267" s="1451"/>
      <c r="D267" s="1451"/>
      <c r="E267" s="1518"/>
      <c r="F267" s="1617" t="s">
        <v>88</v>
      </c>
      <c r="G267" s="1618"/>
      <c r="H267" s="1388" t="s">
        <v>444</v>
      </c>
      <c r="I267" s="1388"/>
      <c r="J267" s="1388"/>
      <c r="K267" s="1388"/>
      <c r="L267" s="1388"/>
      <c r="M267" s="1388"/>
      <c r="N267" s="1388"/>
      <c r="O267" s="1388"/>
      <c r="P267" s="1388"/>
      <c r="Q267" s="1388"/>
      <c r="R267" s="1388"/>
      <c r="S267" s="1388"/>
      <c r="T267" s="1388"/>
      <c r="U267" s="1388"/>
      <c r="V267" s="1388"/>
      <c r="W267" s="1388"/>
      <c r="X267" s="1388"/>
      <c r="Y267" s="1388"/>
      <c r="Z267" s="1388"/>
      <c r="AA267" s="1388"/>
      <c r="AB267" s="1388"/>
      <c r="AC267" s="1388"/>
      <c r="AD267" s="1787" t="str">
        <f>CONCATENATE(AA59)</f>
        <v/>
      </c>
      <c r="AE267" s="1618"/>
      <c r="AF267" s="1618"/>
      <c r="AG267" s="1788"/>
      <c r="AH267" s="104"/>
      <c r="AI267" s="914" t="b">
        <f t="shared" si="15"/>
        <v>0</v>
      </c>
    </row>
    <row r="268" spans="1:67" s="91" customFormat="1" ht="15" customHeight="1">
      <c r="A268" s="1450"/>
      <c r="B268" s="1451"/>
      <c r="C268" s="1451"/>
      <c r="D268" s="1451"/>
      <c r="E268" s="1518"/>
      <c r="F268" s="943">
        <v>2</v>
      </c>
      <c r="G268" s="1428" t="s">
        <v>478</v>
      </c>
      <c r="H268" s="1428"/>
      <c r="I268" s="1428"/>
      <c r="J268" s="1428"/>
      <c r="K268" s="1428"/>
      <c r="L268" s="1428"/>
      <c r="M268" s="1428"/>
      <c r="N268" s="1428"/>
      <c r="O268" s="1428"/>
      <c r="P268" s="1428"/>
      <c r="Q268" s="1428"/>
      <c r="R268" s="1428"/>
      <c r="S268" s="1428"/>
      <c r="T268" s="1428"/>
      <c r="U268" s="1428"/>
      <c r="V268" s="1428"/>
      <c r="W268" s="1428"/>
      <c r="X268" s="1428"/>
      <c r="Y268" s="1428"/>
      <c r="Z268" s="1428"/>
      <c r="AA268" s="1428"/>
      <c r="AB268" s="1428"/>
      <c r="AC268" s="1429"/>
      <c r="AD268" s="1509" t="str">
        <f>IF(COUNTIF(AF269:AG282,"○")&gt;=1,"○","×")</f>
        <v>×</v>
      </c>
      <c r="AE268" s="1510"/>
      <c r="AF268" s="1510"/>
      <c r="AG268" s="1511"/>
      <c r="AH268" s="104"/>
      <c r="AI268" s="172" t="b">
        <f>AD268="○"</f>
        <v>0</v>
      </c>
      <c r="AN268" s="87"/>
      <c r="AO268" s="87"/>
      <c r="AP268" s="87"/>
      <c r="AQ268" s="87"/>
      <c r="AR268" s="87"/>
      <c r="AS268" s="87"/>
      <c r="AT268" s="87"/>
      <c r="AU268" s="87"/>
      <c r="AV268" s="87"/>
      <c r="AW268" s="87"/>
      <c r="AX268" s="87"/>
      <c r="AY268" s="87"/>
      <c r="AZ268" s="87"/>
      <c r="BA268" s="87"/>
      <c r="BB268" s="87"/>
      <c r="BC268" s="87"/>
      <c r="BD268" s="87"/>
      <c r="BE268" s="87"/>
      <c r="BF268" s="87"/>
      <c r="BG268" s="87"/>
      <c r="BH268" s="87"/>
      <c r="BI268" s="87"/>
      <c r="BJ268" s="87"/>
      <c r="BK268" s="87"/>
    </row>
    <row r="269" spans="1:67" s="91" customFormat="1" ht="39.950000000000003" customHeight="1">
      <c r="A269" s="1450"/>
      <c r="B269" s="1451"/>
      <c r="C269" s="1451"/>
      <c r="D269" s="1451"/>
      <c r="E269" s="1518"/>
      <c r="F269" s="1421" t="s">
        <v>136</v>
      </c>
      <c r="G269" s="1422"/>
      <c r="H269" s="1716" t="s">
        <v>613</v>
      </c>
      <c r="I269" s="1716"/>
      <c r="J269" s="1716"/>
      <c r="K269" s="1716"/>
      <c r="L269" s="1716"/>
      <c r="M269" s="1716"/>
      <c r="N269" s="1716"/>
      <c r="O269" s="1716"/>
      <c r="P269" s="1716"/>
      <c r="Q269" s="1716"/>
      <c r="R269" s="1716"/>
      <c r="S269" s="1716"/>
      <c r="T269" s="1716"/>
      <c r="U269" s="1716"/>
      <c r="V269" s="1716"/>
      <c r="W269" s="1716"/>
      <c r="X269" s="1716"/>
      <c r="Y269" s="1716"/>
      <c r="Z269" s="1716"/>
      <c r="AA269" s="1716"/>
      <c r="AB269" s="1716"/>
      <c r="AC269" s="1716"/>
      <c r="AD269" s="1716"/>
      <c r="AE269" s="1716"/>
      <c r="AF269" s="1726" t="str">
        <f>IF(AND($X$270="○",AI270&gt;=AJ270),"○","×")</f>
        <v>×</v>
      </c>
      <c r="AG269" s="1727"/>
      <c r="AI269" s="491" t="s">
        <v>182</v>
      </c>
      <c r="AJ269" s="491" t="s">
        <v>183</v>
      </c>
    </row>
    <row r="270" spans="1:67" s="91" customFormat="1" ht="15" customHeight="1">
      <c r="A270" s="1450"/>
      <c r="B270" s="1451"/>
      <c r="C270" s="1451"/>
      <c r="D270" s="1451"/>
      <c r="E270" s="1518"/>
      <c r="F270" s="1392"/>
      <c r="G270" s="1393"/>
      <c r="H270" s="724" t="s">
        <v>490</v>
      </c>
      <c r="I270" s="1742" t="s">
        <v>180</v>
      </c>
      <c r="J270" s="1742"/>
      <c r="K270" s="1742"/>
      <c r="L270" s="1742"/>
      <c r="M270" s="1742"/>
      <c r="N270" s="1742"/>
      <c r="O270" s="1742"/>
      <c r="P270" s="1742"/>
      <c r="Q270" s="1742"/>
      <c r="R270" s="1742"/>
      <c r="S270" s="1742"/>
      <c r="T270" s="1742"/>
      <c r="U270" s="1742"/>
      <c r="V270" s="1742"/>
      <c r="W270" s="1742"/>
      <c r="X270" s="1756" t="str">
        <f>IF(X229=0,"",X229)</f>
        <v/>
      </c>
      <c r="Y270" s="1756"/>
      <c r="Z270" s="1756"/>
      <c r="AA270" s="1756"/>
      <c r="AB270" s="1756"/>
      <c r="AC270" s="1756"/>
      <c r="AD270" s="1756"/>
      <c r="AE270" s="1756"/>
      <c r="AF270" s="1759"/>
      <c r="AG270" s="1729"/>
      <c r="AI270" s="491">
        <f>IFERROR(VLOOKUP($I$10,$AL$3:$AM$14,2,FALSE),0)</f>
        <v>0</v>
      </c>
      <c r="AJ270" s="491">
        <f>IFERROR(VLOOKUP($X$271,$AL$3:$AM$14,2,FALSE),13)</f>
        <v>13</v>
      </c>
    </row>
    <row r="271" spans="1:67" s="91" customFormat="1" ht="15" customHeight="1">
      <c r="A271" s="1450"/>
      <c r="B271" s="1451"/>
      <c r="C271" s="1451"/>
      <c r="D271" s="1451"/>
      <c r="E271" s="1518"/>
      <c r="F271" s="1423"/>
      <c r="G271" s="1424"/>
      <c r="H271" s="725" t="s">
        <v>491</v>
      </c>
      <c r="I271" s="1757" t="s">
        <v>492</v>
      </c>
      <c r="J271" s="1757"/>
      <c r="K271" s="1757"/>
      <c r="L271" s="1757"/>
      <c r="M271" s="1757"/>
      <c r="N271" s="1757"/>
      <c r="O271" s="1757"/>
      <c r="P271" s="1757"/>
      <c r="Q271" s="1757"/>
      <c r="R271" s="1757"/>
      <c r="S271" s="1757"/>
      <c r="T271" s="1757"/>
      <c r="U271" s="1757"/>
      <c r="V271" s="1757"/>
      <c r="W271" s="1757"/>
      <c r="X271" s="1758" t="str">
        <f>IF(X230=0,"",X230)</f>
        <v/>
      </c>
      <c r="Y271" s="1758"/>
      <c r="Z271" s="1758"/>
      <c r="AA271" s="1758"/>
      <c r="AB271" s="1758"/>
      <c r="AC271" s="1758"/>
      <c r="AD271" s="1758"/>
      <c r="AE271" s="1758"/>
      <c r="AF271" s="1760"/>
      <c r="AG271" s="1731"/>
      <c r="AI271" s="104"/>
    </row>
    <row r="272" spans="1:67" s="91" customFormat="1" ht="50.1" customHeight="1">
      <c r="A272" s="1450"/>
      <c r="B272" s="1451"/>
      <c r="C272" s="1451"/>
      <c r="D272" s="1451"/>
      <c r="E272" s="1518"/>
      <c r="F272" s="1563" t="s">
        <v>87</v>
      </c>
      <c r="G272" s="1564"/>
      <c r="H272" s="1761" t="s">
        <v>612</v>
      </c>
      <c r="I272" s="1762"/>
      <c r="J272" s="1762"/>
      <c r="K272" s="1762"/>
      <c r="L272" s="1762"/>
      <c r="M272" s="1762"/>
      <c r="N272" s="1762"/>
      <c r="O272" s="1762"/>
      <c r="P272" s="1762"/>
      <c r="Q272" s="1762"/>
      <c r="R272" s="1762"/>
      <c r="S272" s="1762"/>
      <c r="T272" s="1762"/>
      <c r="U272" s="1762"/>
      <c r="V272" s="1762"/>
      <c r="W272" s="1762"/>
      <c r="X272" s="1762"/>
      <c r="Y272" s="1762"/>
      <c r="Z272" s="1762"/>
      <c r="AA272" s="1762"/>
      <c r="AB272" s="1762"/>
      <c r="AC272" s="1762"/>
      <c r="AD272" s="1762"/>
      <c r="AE272" s="1763"/>
      <c r="AF272" s="1732" t="str">
        <f>IFERROR(IF(OR(HLOOKUP($AI$270,$AJ$274:$AV$275,2,FALSE),AND($AI$270=1,$AK$275)),"○","×"),"×")</f>
        <v>×</v>
      </c>
      <c r="AG272" s="1463"/>
      <c r="AI272" s="491" t="s">
        <v>84</v>
      </c>
      <c r="AJ272" s="173">
        <v>4</v>
      </c>
      <c r="AK272" s="172">
        <v>5</v>
      </c>
      <c r="AL272" s="172">
        <v>6</v>
      </c>
      <c r="AM272" s="172">
        <v>7</v>
      </c>
      <c r="AN272" s="172">
        <v>8</v>
      </c>
      <c r="AO272" s="172">
        <v>9</v>
      </c>
      <c r="AP272" s="172">
        <v>10</v>
      </c>
      <c r="AQ272" s="172">
        <v>11</v>
      </c>
      <c r="AR272" s="172">
        <v>12</v>
      </c>
      <c r="AS272" s="172">
        <v>1</v>
      </c>
      <c r="AT272" s="172"/>
      <c r="AU272" s="172">
        <v>2</v>
      </c>
      <c r="AV272" s="172">
        <v>3</v>
      </c>
    </row>
    <row r="273" spans="1:67" s="91" customFormat="1" ht="24.95" hidden="1" customHeight="1">
      <c r="A273" s="1450"/>
      <c r="B273" s="1451"/>
      <c r="C273" s="1451"/>
      <c r="D273" s="1451"/>
      <c r="E273" s="1518"/>
      <c r="F273" s="1565"/>
      <c r="G273" s="1566"/>
      <c r="H273" s="1795" t="s">
        <v>1131</v>
      </c>
      <c r="I273" s="1795"/>
      <c r="J273" s="1795"/>
      <c r="K273" s="1795"/>
      <c r="L273" s="1795"/>
      <c r="M273" s="1795"/>
      <c r="N273" s="1795"/>
      <c r="O273" s="1795"/>
      <c r="P273" s="1795"/>
      <c r="Q273" s="1795"/>
      <c r="R273" s="1795"/>
      <c r="S273" s="1795"/>
      <c r="T273" s="1795"/>
      <c r="U273" s="1795"/>
      <c r="V273" s="1795"/>
      <c r="W273" s="1795"/>
      <c r="X273" s="1795"/>
      <c r="Y273" s="1795"/>
      <c r="Z273" s="1795"/>
      <c r="AA273" s="1795"/>
      <c r="AB273" s="1791" t="str">
        <f>IF(AB232=0,"",AB232)</f>
        <v/>
      </c>
      <c r="AC273" s="1792"/>
      <c r="AD273" s="1792"/>
      <c r="AE273" s="1793"/>
      <c r="AF273" s="1733"/>
      <c r="AG273" s="1394"/>
      <c r="AI273" s="491"/>
      <c r="AJ273" s="173"/>
      <c r="AK273" s="172"/>
      <c r="AL273" s="172"/>
      <c r="AM273" s="172"/>
      <c r="AN273" s="172"/>
      <c r="AO273" s="172"/>
      <c r="AP273" s="172"/>
      <c r="AQ273" s="172"/>
      <c r="AR273" s="172"/>
      <c r="AS273" s="172"/>
      <c r="AT273" s="172"/>
      <c r="AU273" s="172"/>
      <c r="AV273" s="172"/>
    </row>
    <row r="274" spans="1:67" s="91" customFormat="1" ht="15" customHeight="1">
      <c r="A274" s="1450"/>
      <c r="B274" s="1451"/>
      <c r="C274" s="1451"/>
      <c r="D274" s="1451"/>
      <c r="E274" s="1518"/>
      <c r="F274" s="1567"/>
      <c r="G274" s="1568"/>
      <c r="H274" s="1769" t="str">
        <f>IF(AB273="○","昨年度","今年度")&amp;"の各月延べ利用数(25人/月が該当月)"</f>
        <v>今年度の各月延べ利用数(25人/月が該当月)</v>
      </c>
      <c r="I274" s="1769"/>
      <c r="J274" s="1769"/>
      <c r="K274" s="1769"/>
      <c r="L274" s="1769"/>
      <c r="M274" s="1769"/>
      <c r="N274" s="1769"/>
      <c r="O274" s="1769"/>
      <c r="P274" s="1769"/>
      <c r="Q274" s="1769"/>
      <c r="R274" s="1769"/>
      <c r="S274" s="1769"/>
      <c r="T274" s="1769"/>
      <c r="U274" s="1769"/>
      <c r="V274" s="1769"/>
      <c r="W274" s="1769"/>
      <c r="X274" s="1769"/>
      <c r="Y274" s="1769"/>
      <c r="Z274" s="1769"/>
      <c r="AA274" s="1769"/>
      <c r="AB274" s="1769"/>
      <c r="AC274" s="1769"/>
      <c r="AD274" s="1769"/>
      <c r="AE274" s="1770"/>
      <c r="AF274" s="1733"/>
      <c r="AG274" s="1394"/>
      <c r="AI274" s="491" t="s">
        <v>506</v>
      </c>
      <c r="AJ274" s="491">
        <v>1</v>
      </c>
      <c r="AK274" s="491">
        <v>2</v>
      </c>
      <c r="AL274" s="491">
        <v>3</v>
      </c>
      <c r="AM274" s="491">
        <v>4</v>
      </c>
      <c r="AN274" s="491">
        <v>5</v>
      </c>
      <c r="AO274" s="491">
        <v>6</v>
      </c>
      <c r="AP274" s="491">
        <v>7</v>
      </c>
      <c r="AQ274" s="491">
        <v>8</v>
      </c>
      <c r="AR274" s="491">
        <v>9</v>
      </c>
      <c r="AS274" s="491">
        <v>10</v>
      </c>
      <c r="AT274" s="491"/>
      <c r="AU274" s="491">
        <v>11</v>
      </c>
      <c r="AV274" s="491">
        <v>12</v>
      </c>
    </row>
    <row r="275" spans="1:67" s="91" customFormat="1" ht="15" customHeight="1">
      <c r="A275" s="1450"/>
      <c r="B275" s="1451"/>
      <c r="C275" s="1451"/>
      <c r="D275" s="1451"/>
      <c r="E275" s="1518"/>
      <c r="F275" s="1567"/>
      <c r="G275" s="1568"/>
      <c r="H275" s="1571" t="s">
        <v>493</v>
      </c>
      <c r="I275" s="1571"/>
      <c r="J275" s="1572"/>
      <c r="K275" s="1754">
        <f>K234</f>
        <v>0</v>
      </c>
      <c r="L275" s="1755"/>
      <c r="M275" s="989" t="s">
        <v>10</v>
      </c>
      <c r="N275" s="1571" t="s">
        <v>494</v>
      </c>
      <c r="O275" s="1571"/>
      <c r="P275" s="1572"/>
      <c r="Q275" s="1754">
        <f>Q234</f>
        <v>0</v>
      </c>
      <c r="R275" s="1755"/>
      <c r="S275" s="989" t="s">
        <v>10</v>
      </c>
      <c r="T275" s="1571" t="s">
        <v>495</v>
      </c>
      <c r="U275" s="1571"/>
      <c r="V275" s="1572"/>
      <c r="W275" s="1754">
        <f>W234</f>
        <v>0</v>
      </c>
      <c r="X275" s="1755"/>
      <c r="Y275" s="989" t="s">
        <v>10</v>
      </c>
      <c r="Z275" s="1571" t="s">
        <v>496</v>
      </c>
      <c r="AA275" s="1571"/>
      <c r="AB275" s="1572"/>
      <c r="AC275" s="1754">
        <f>AC234</f>
        <v>0</v>
      </c>
      <c r="AD275" s="1755"/>
      <c r="AE275" s="991" t="s">
        <v>10</v>
      </c>
      <c r="AF275" s="1733"/>
      <c r="AG275" s="1394"/>
      <c r="AI275" s="491" t="s">
        <v>507</v>
      </c>
      <c r="AJ275" s="172" t="b">
        <f>K275&gt;=25</f>
        <v>0</v>
      </c>
      <c r="AK275" s="172" t="b">
        <f>OR(Q275&gt;=25,AJ275)</f>
        <v>0</v>
      </c>
      <c r="AL275" s="172" t="b">
        <f>OR(W275&gt;=25,AK275)</f>
        <v>0</v>
      </c>
      <c r="AM275" s="172" t="b">
        <f>OR(AC275&gt;=25,AL275)</f>
        <v>0</v>
      </c>
      <c r="AN275" s="172" t="b">
        <f>OR(K276&gt;=25,AM275)</f>
        <v>0</v>
      </c>
      <c r="AO275" s="172" t="b">
        <f>OR(Q276&gt;=25,AN275)</f>
        <v>0</v>
      </c>
      <c r="AP275" s="172" t="b">
        <f>OR(W276&gt;=25,AO275)</f>
        <v>0</v>
      </c>
      <c r="AQ275" s="172" t="b">
        <f>OR(AC276&gt;=25,AP275)</f>
        <v>0</v>
      </c>
      <c r="AR275" s="172" t="b">
        <f>OR(K277&gt;=25,AQ275)</f>
        <v>0</v>
      </c>
      <c r="AS275" s="172" t="b">
        <f>OR(Q277&gt;=25,AR275)</f>
        <v>0</v>
      </c>
      <c r="AT275" s="172"/>
      <c r="AU275" s="172" t="b">
        <f>OR(W277&gt;=25,AS275)</f>
        <v>0</v>
      </c>
      <c r="AV275" s="172" t="b">
        <f>OR(AC277&gt;=25,AU275)</f>
        <v>0</v>
      </c>
    </row>
    <row r="276" spans="1:67" s="91" customFormat="1" ht="15" customHeight="1">
      <c r="A276" s="1450"/>
      <c r="B276" s="1451"/>
      <c r="C276" s="1451"/>
      <c r="D276" s="1451"/>
      <c r="E276" s="1518"/>
      <c r="F276" s="1567"/>
      <c r="G276" s="1568"/>
      <c r="H276" s="1571" t="s">
        <v>497</v>
      </c>
      <c r="I276" s="1571"/>
      <c r="J276" s="1572"/>
      <c r="K276" s="1754">
        <f>K235</f>
        <v>0</v>
      </c>
      <c r="L276" s="1755"/>
      <c r="M276" s="989" t="s">
        <v>10</v>
      </c>
      <c r="N276" s="1571" t="s">
        <v>498</v>
      </c>
      <c r="O276" s="1571"/>
      <c r="P276" s="1572"/>
      <c r="Q276" s="1754">
        <f>Q235</f>
        <v>0</v>
      </c>
      <c r="R276" s="1755"/>
      <c r="S276" s="989" t="s">
        <v>10</v>
      </c>
      <c r="T276" s="1571" t="s">
        <v>499</v>
      </c>
      <c r="U276" s="1571"/>
      <c r="V276" s="1572"/>
      <c r="W276" s="1754">
        <f>W235</f>
        <v>0</v>
      </c>
      <c r="X276" s="1755"/>
      <c r="Y276" s="989" t="s">
        <v>10</v>
      </c>
      <c r="Z276" s="1571" t="s">
        <v>500</v>
      </c>
      <c r="AA276" s="1571"/>
      <c r="AB276" s="1572"/>
      <c r="AC276" s="1754">
        <f>AC235</f>
        <v>0</v>
      </c>
      <c r="AD276" s="1755"/>
      <c r="AE276" s="991" t="s">
        <v>10</v>
      </c>
      <c r="AF276" s="1733"/>
      <c r="AG276" s="1394"/>
      <c r="AI276" s="88"/>
      <c r="AJ276" s="105"/>
      <c r="AK276" s="105"/>
      <c r="AL276" s="105"/>
      <c r="AM276" s="105"/>
      <c r="AN276" s="105"/>
      <c r="AO276" s="105"/>
      <c r="AP276" s="105"/>
      <c r="AQ276" s="105"/>
      <c r="AR276" s="105"/>
      <c r="AS276" s="105"/>
      <c r="AT276" s="105"/>
      <c r="AU276" s="105"/>
      <c r="AV276" s="105"/>
    </row>
    <row r="277" spans="1:67" s="91" customFormat="1" ht="15" customHeight="1">
      <c r="A277" s="1450"/>
      <c r="B277" s="1451"/>
      <c r="C277" s="1451"/>
      <c r="D277" s="1451"/>
      <c r="E277" s="1518"/>
      <c r="F277" s="1569"/>
      <c r="G277" s="1570"/>
      <c r="H277" s="1736" t="s">
        <v>501</v>
      </c>
      <c r="I277" s="1736"/>
      <c r="J277" s="1737"/>
      <c r="K277" s="1796">
        <f>K236</f>
        <v>0</v>
      </c>
      <c r="L277" s="1797"/>
      <c r="M277" s="990" t="s">
        <v>10</v>
      </c>
      <c r="N277" s="1736" t="s">
        <v>502</v>
      </c>
      <c r="O277" s="1736"/>
      <c r="P277" s="1737"/>
      <c r="Q277" s="1796">
        <f>Q236</f>
        <v>0</v>
      </c>
      <c r="R277" s="1797"/>
      <c r="S277" s="990" t="s">
        <v>10</v>
      </c>
      <c r="T277" s="1736" t="s">
        <v>503</v>
      </c>
      <c r="U277" s="1736"/>
      <c r="V277" s="1737"/>
      <c r="W277" s="1796">
        <f>W236</f>
        <v>0</v>
      </c>
      <c r="X277" s="1797"/>
      <c r="Y277" s="990" t="s">
        <v>10</v>
      </c>
      <c r="Z277" s="1736" t="s">
        <v>504</v>
      </c>
      <c r="AA277" s="1736"/>
      <c r="AB277" s="1737"/>
      <c r="AC277" s="1796">
        <f>AC236</f>
        <v>0</v>
      </c>
      <c r="AD277" s="1797"/>
      <c r="AE277" s="992" t="s">
        <v>10</v>
      </c>
      <c r="AF277" s="1734"/>
      <c r="AG277" s="1735"/>
      <c r="AI277" s="104"/>
    </row>
    <row r="278" spans="1:67" s="91" customFormat="1" ht="15" customHeight="1">
      <c r="A278" s="1450"/>
      <c r="B278" s="1451"/>
      <c r="C278" s="1451"/>
      <c r="D278" s="1451"/>
      <c r="E278" s="1518"/>
      <c r="F278" s="1392" t="s">
        <v>88</v>
      </c>
      <c r="G278" s="1393"/>
      <c r="H278" s="1346" t="s">
        <v>623</v>
      </c>
      <c r="I278" s="1346"/>
      <c r="J278" s="1346"/>
      <c r="K278" s="1346"/>
      <c r="L278" s="1346"/>
      <c r="M278" s="1346"/>
      <c r="N278" s="1346"/>
      <c r="O278" s="1346"/>
      <c r="P278" s="1346"/>
      <c r="Q278" s="1346"/>
      <c r="R278" s="1346"/>
      <c r="S278" s="1346"/>
      <c r="T278" s="1346"/>
      <c r="U278" s="1346"/>
      <c r="V278" s="1346"/>
      <c r="W278" s="1346"/>
      <c r="X278" s="1346"/>
      <c r="Y278" s="1346"/>
      <c r="Z278" s="1346"/>
      <c r="AA278" s="1346"/>
      <c r="AB278" s="1346"/>
      <c r="AC278" s="1346"/>
      <c r="AD278" s="1346"/>
      <c r="AE278" s="1346"/>
      <c r="AF278" s="1759" t="s">
        <v>181</v>
      </c>
      <c r="AG278" s="1729"/>
      <c r="AI278" s="104"/>
    </row>
    <row r="279" spans="1:67" s="91" customFormat="1" ht="15" customHeight="1">
      <c r="A279" s="1450"/>
      <c r="B279" s="1451"/>
      <c r="C279" s="1451"/>
      <c r="D279" s="1451"/>
      <c r="E279" s="1518"/>
      <c r="F279" s="1421" t="s">
        <v>469</v>
      </c>
      <c r="G279" s="1422"/>
      <c r="H279" s="1489" t="s">
        <v>624</v>
      </c>
      <c r="I279" s="1489"/>
      <c r="J279" s="1489"/>
      <c r="K279" s="1489"/>
      <c r="L279" s="1489"/>
      <c r="M279" s="1489"/>
      <c r="N279" s="1489"/>
      <c r="O279" s="1489"/>
      <c r="P279" s="1489"/>
      <c r="Q279" s="1489"/>
      <c r="R279" s="1489"/>
      <c r="S279" s="1489"/>
      <c r="T279" s="1489"/>
      <c r="U279" s="1489"/>
      <c r="V279" s="1489"/>
      <c r="W279" s="1489"/>
      <c r="X279" s="1489"/>
      <c r="Y279" s="1489"/>
      <c r="Z279" s="1489"/>
      <c r="AA279" s="1489"/>
      <c r="AB279" s="1489"/>
      <c r="AC279" s="1489"/>
      <c r="AD279" s="1489"/>
      <c r="AE279" s="1489"/>
      <c r="AF279" s="1726" t="str">
        <f>IF(AJ280&lt;=AI270,"○","×")</f>
        <v>×</v>
      </c>
      <c r="AG279" s="1727"/>
      <c r="AJ279" s="94" t="s">
        <v>183</v>
      </c>
    </row>
    <row r="280" spans="1:67" s="91" customFormat="1" ht="15" customHeight="1">
      <c r="A280" s="1450"/>
      <c r="B280" s="1451"/>
      <c r="C280" s="1451"/>
      <c r="D280" s="1451"/>
      <c r="E280" s="1518"/>
      <c r="F280" s="1423"/>
      <c r="G280" s="1424"/>
      <c r="H280" s="1801" t="s">
        <v>184</v>
      </c>
      <c r="I280" s="1801"/>
      <c r="J280" s="1801"/>
      <c r="K280" s="1801"/>
      <c r="L280" s="1801"/>
      <c r="M280" s="1801"/>
      <c r="N280" s="1801"/>
      <c r="O280" s="1801"/>
      <c r="P280" s="1801"/>
      <c r="Q280" s="1801"/>
      <c r="R280" s="1801"/>
      <c r="S280" s="1801"/>
      <c r="T280" s="1801"/>
      <c r="U280" s="1801"/>
      <c r="V280" s="1801"/>
      <c r="W280" s="1801"/>
      <c r="X280" s="1801"/>
      <c r="Y280" s="1801"/>
      <c r="Z280" s="1801"/>
      <c r="AA280" s="1801"/>
      <c r="AB280" s="1806" t="str">
        <f>IF(AB239=0,"",AB239)</f>
        <v/>
      </c>
      <c r="AC280" s="1806"/>
      <c r="AD280" s="1801" t="s">
        <v>185</v>
      </c>
      <c r="AE280" s="1801"/>
      <c r="AF280" s="1760"/>
      <c r="AG280" s="1731"/>
      <c r="AJ280" s="94">
        <f>IFERROR(VLOOKUP($AB$280,$AL$3:$AM$14,2,FALSE),13)</f>
        <v>13</v>
      </c>
    </row>
    <row r="281" spans="1:67" s="91" customFormat="1" ht="15" customHeight="1">
      <c r="A281" s="1450"/>
      <c r="B281" s="1451"/>
      <c r="C281" s="1451"/>
      <c r="D281" s="1451"/>
      <c r="E281" s="1518"/>
      <c r="F281" s="1392" t="s">
        <v>89</v>
      </c>
      <c r="G281" s="1393"/>
      <c r="H281" s="1346" t="s">
        <v>625</v>
      </c>
      <c r="I281" s="1346"/>
      <c r="J281" s="1346"/>
      <c r="K281" s="1346"/>
      <c r="L281" s="1346"/>
      <c r="M281" s="1346"/>
      <c r="N281" s="1346"/>
      <c r="O281" s="1346"/>
      <c r="P281" s="1346"/>
      <c r="Q281" s="1346"/>
      <c r="R281" s="1346"/>
      <c r="S281" s="1346"/>
      <c r="T281" s="1346"/>
      <c r="U281" s="1346"/>
      <c r="V281" s="1346"/>
      <c r="W281" s="1346"/>
      <c r="X281" s="1346"/>
      <c r="Y281" s="1346"/>
      <c r="Z281" s="1346"/>
      <c r="AA281" s="1346"/>
      <c r="AB281" s="1346"/>
      <c r="AC281" s="1346"/>
      <c r="AD281" s="1346"/>
      <c r="AE281" s="1346"/>
      <c r="AF281" s="1764" t="str">
        <f>IF(AJ282&lt;=AI270,"○","×")</f>
        <v>×</v>
      </c>
      <c r="AG281" s="1765"/>
      <c r="AJ281" s="94" t="s">
        <v>183</v>
      </c>
    </row>
    <row r="282" spans="1:67" s="91" customFormat="1" ht="15" customHeight="1">
      <c r="A282" s="1452"/>
      <c r="B282" s="1453"/>
      <c r="C282" s="1453"/>
      <c r="D282" s="1453"/>
      <c r="E282" s="1783"/>
      <c r="F282" s="1395"/>
      <c r="G282" s="1396"/>
      <c r="H282" s="1451" t="s">
        <v>186</v>
      </c>
      <c r="I282" s="1451"/>
      <c r="J282" s="1451"/>
      <c r="K282" s="1451"/>
      <c r="L282" s="1451"/>
      <c r="M282" s="1451"/>
      <c r="N282" s="1451"/>
      <c r="O282" s="1451"/>
      <c r="P282" s="1451"/>
      <c r="Q282" s="1451"/>
      <c r="R282" s="1451"/>
      <c r="S282" s="1451"/>
      <c r="T282" s="1451"/>
      <c r="U282" s="1451"/>
      <c r="V282" s="1451"/>
      <c r="W282" s="1451"/>
      <c r="X282" s="1451"/>
      <c r="Y282" s="1451"/>
      <c r="Z282" s="1451"/>
      <c r="AA282" s="1451"/>
      <c r="AB282" s="1784" t="str">
        <f>IF(AB241=0,"",AB241)</f>
        <v/>
      </c>
      <c r="AC282" s="1784"/>
      <c r="AD282" s="1451" t="s">
        <v>185</v>
      </c>
      <c r="AE282" s="1451"/>
      <c r="AF282" s="1766"/>
      <c r="AG282" s="1767"/>
      <c r="AJ282" s="94">
        <f>IFERROR(VLOOKUP($AB$282,$AL$3:$AM$14,2,FALSE),13)</f>
        <v>13</v>
      </c>
    </row>
    <row r="283" spans="1:67" s="91" customFormat="1" ht="15" customHeight="1">
      <c r="A283" s="1448" t="s">
        <v>48</v>
      </c>
      <c r="B283" s="1449"/>
      <c r="C283" s="1449"/>
      <c r="D283" s="1449"/>
      <c r="E283" s="1584"/>
      <c r="F283" s="1740" t="s">
        <v>615</v>
      </c>
      <c r="G283" s="1662"/>
      <c r="H283" s="1662"/>
      <c r="I283" s="1662"/>
      <c r="J283" s="1662"/>
      <c r="K283" s="1662"/>
      <c r="L283" s="1662"/>
      <c r="M283" s="1662"/>
      <c r="N283" s="1662"/>
      <c r="O283" s="1662"/>
      <c r="P283" s="1662"/>
      <c r="Q283" s="1662"/>
      <c r="R283" s="1662"/>
      <c r="S283" s="1662"/>
      <c r="T283" s="1662"/>
      <c r="U283" s="1662"/>
      <c r="V283" s="1662"/>
      <c r="W283" s="1662"/>
      <c r="X283" s="1662"/>
      <c r="Y283" s="1662"/>
      <c r="Z283" s="1662"/>
      <c r="AA283" s="1662"/>
      <c r="AB283" s="1662"/>
      <c r="AC283" s="1662"/>
      <c r="AD283" s="1662"/>
      <c r="AE283" s="1662"/>
      <c r="AF283" s="1662"/>
      <c r="AG283" s="1741"/>
      <c r="AH283" s="104"/>
      <c r="AM283" s="89"/>
    </row>
    <row r="284" spans="1:67" s="91" customFormat="1" ht="24.95" customHeight="1">
      <c r="A284" s="1452"/>
      <c r="B284" s="1453"/>
      <c r="C284" s="1453"/>
      <c r="D284" s="1453"/>
      <c r="E284" s="1783"/>
      <c r="F284" s="1548" t="s">
        <v>1125</v>
      </c>
      <c r="G284" s="1516"/>
      <c r="H284" s="1516"/>
      <c r="I284" s="1516"/>
      <c r="J284" s="1516"/>
      <c r="K284" s="1516"/>
      <c r="L284" s="1516"/>
      <c r="M284" s="1516"/>
      <c r="N284" s="1516"/>
      <c r="O284" s="1516"/>
      <c r="P284" s="1516"/>
      <c r="Q284" s="1516"/>
      <c r="R284" s="1516"/>
      <c r="S284" s="1516"/>
      <c r="T284" s="1516"/>
      <c r="U284" s="1516"/>
      <c r="V284" s="1516"/>
      <c r="W284" s="1516"/>
      <c r="X284" s="1516"/>
      <c r="Y284" s="1516"/>
      <c r="Z284" s="1516"/>
      <c r="AA284" s="1516"/>
      <c r="AB284" s="1516"/>
      <c r="AC284" s="1516"/>
      <c r="AD284" s="1516"/>
      <c r="AE284" s="1516"/>
      <c r="AF284" s="1516"/>
      <c r="AG284" s="1549"/>
      <c r="AH284" s="104"/>
    </row>
    <row r="285" spans="1:67" s="91" customFormat="1" ht="24.95" customHeight="1">
      <c r="A285" s="1486" t="s">
        <v>489</v>
      </c>
      <c r="B285" s="1486"/>
      <c r="C285" s="1486"/>
      <c r="D285" s="1486"/>
      <c r="E285" s="1486"/>
      <c r="F285" s="1486"/>
      <c r="G285" s="1486"/>
      <c r="H285" s="1486"/>
      <c r="I285" s="1486"/>
      <c r="J285" s="1486"/>
      <c r="K285" s="1486"/>
      <c r="L285" s="1486"/>
      <c r="M285" s="1486"/>
      <c r="N285" s="1486"/>
      <c r="O285" s="1486"/>
      <c r="P285" s="1486"/>
      <c r="Q285" s="1486"/>
      <c r="R285" s="1486"/>
      <c r="S285" s="1486"/>
      <c r="T285" s="1486"/>
      <c r="U285" s="1486"/>
      <c r="V285" s="1486"/>
      <c r="W285" s="1486"/>
      <c r="X285" s="1486"/>
      <c r="Y285" s="1486"/>
      <c r="Z285" s="1486"/>
      <c r="AA285" s="1486"/>
      <c r="AB285" s="1486"/>
      <c r="AC285" s="1486"/>
      <c r="AD285" s="1486"/>
      <c r="AE285" s="1486"/>
      <c r="AF285" s="1486"/>
      <c r="AG285" s="1486"/>
      <c r="AH285" s="104"/>
      <c r="AN285" s="95"/>
      <c r="AO285" s="95"/>
      <c r="AP285" s="95"/>
      <c r="AQ285" s="95"/>
      <c r="AR285" s="95"/>
      <c r="AS285" s="95"/>
      <c r="AT285" s="95"/>
      <c r="AU285" s="95"/>
      <c r="AV285" s="95"/>
      <c r="AW285" s="95"/>
      <c r="AX285" s="95"/>
      <c r="AY285" s="95"/>
      <c r="AZ285" s="95"/>
      <c r="BA285" s="95"/>
      <c r="BB285" s="95"/>
      <c r="BC285" s="95"/>
      <c r="BD285" s="95"/>
      <c r="BE285" s="95"/>
      <c r="BF285" s="95"/>
      <c r="BG285" s="95"/>
      <c r="BH285" s="95"/>
      <c r="BI285" s="95"/>
      <c r="BJ285" s="95"/>
      <c r="BK285" s="95"/>
      <c r="BL285" s="95"/>
      <c r="BM285" s="95"/>
      <c r="BN285" s="95"/>
      <c r="BO285" s="95"/>
    </row>
    <row r="286" spans="1:67" s="91" customFormat="1" ht="24.95" hidden="1" customHeight="1">
      <c r="A286" s="1337" t="s">
        <v>1130</v>
      </c>
      <c r="B286" s="1337"/>
      <c r="C286" s="1337"/>
      <c r="D286" s="1337"/>
      <c r="E286" s="1337"/>
      <c r="F286" s="1337"/>
      <c r="G286" s="1337"/>
      <c r="H286" s="1337"/>
      <c r="I286" s="1337"/>
      <c r="J286" s="1337"/>
      <c r="K286" s="1337"/>
      <c r="L286" s="1337"/>
      <c r="M286" s="1337"/>
      <c r="N286" s="1337"/>
      <c r="O286" s="1337"/>
      <c r="P286" s="1337"/>
      <c r="Q286" s="1337"/>
      <c r="R286" s="1337"/>
      <c r="S286" s="1337"/>
      <c r="T286" s="1337"/>
      <c r="U286" s="1337"/>
      <c r="V286" s="1337"/>
      <c r="W286" s="1337"/>
      <c r="X286" s="1337"/>
      <c r="Y286" s="1337"/>
      <c r="Z286" s="1337"/>
      <c r="AA286" s="1337"/>
      <c r="AB286" s="1337"/>
      <c r="AC286" s="1337"/>
      <c r="AD286" s="1337"/>
      <c r="AE286" s="1337"/>
      <c r="AF286" s="1337"/>
      <c r="AG286" s="1337"/>
      <c r="AH286" s="104"/>
      <c r="AN286" s="95"/>
      <c r="AO286" s="95"/>
      <c r="AP286" s="95"/>
      <c r="AQ286" s="95"/>
      <c r="AR286" s="95"/>
      <c r="AS286" s="95"/>
      <c r="AT286" s="95"/>
      <c r="AU286" s="95"/>
      <c r="AV286" s="95"/>
      <c r="AW286" s="95"/>
      <c r="AX286" s="95"/>
      <c r="AY286" s="95"/>
      <c r="AZ286" s="95"/>
      <c r="BA286" s="95"/>
      <c r="BB286" s="95"/>
      <c r="BC286" s="95"/>
      <c r="BD286" s="95"/>
      <c r="BE286" s="95"/>
      <c r="BF286" s="95"/>
      <c r="BG286" s="95"/>
      <c r="BH286" s="95"/>
      <c r="BI286" s="95"/>
      <c r="BJ286" s="95"/>
      <c r="BK286" s="95"/>
      <c r="BL286" s="95"/>
      <c r="BM286" s="95"/>
      <c r="BN286" s="95"/>
      <c r="BO286" s="95"/>
    </row>
    <row r="287" spans="1:67" ht="15" customHeight="1" thickBot="1">
      <c r="A287" s="714"/>
      <c r="B287" s="714"/>
      <c r="C287" s="714"/>
      <c r="D287" s="714"/>
      <c r="E287" s="714"/>
      <c r="F287" s="714"/>
      <c r="G287" s="714"/>
      <c r="H287" s="714"/>
      <c r="I287" s="714"/>
      <c r="J287" s="714"/>
      <c r="K287" s="714"/>
      <c r="L287" s="714"/>
      <c r="M287" s="714"/>
      <c r="N287" s="714"/>
      <c r="O287" s="714"/>
      <c r="P287" s="714"/>
      <c r="Q287" s="714"/>
      <c r="R287" s="714"/>
      <c r="S287" s="714"/>
      <c r="T287" s="714"/>
      <c r="U287" s="714"/>
      <c r="V287" s="714"/>
      <c r="W287" s="714"/>
      <c r="X287" s="714"/>
      <c r="Y287" s="714"/>
      <c r="Z287" s="714"/>
      <c r="AA287" s="714"/>
      <c r="AB287" s="714"/>
      <c r="AC287" s="714"/>
      <c r="AD287" s="714"/>
      <c r="AE287" s="636"/>
      <c r="AF287" s="636"/>
      <c r="AG287" s="636"/>
      <c r="AI287" s="91"/>
      <c r="AJ287" s="91"/>
      <c r="AK287" s="91"/>
      <c r="AL287" s="91"/>
      <c r="AM287" s="91"/>
    </row>
    <row r="288" spans="1:67" ht="15" customHeight="1" thickBot="1">
      <c r="A288" s="1534" t="s">
        <v>482</v>
      </c>
      <c r="B288" s="1534"/>
      <c r="C288" s="1534"/>
      <c r="D288" s="1534"/>
      <c r="E288" s="1534"/>
      <c r="F288" s="1534"/>
      <c r="G288" s="1534"/>
      <c r="H288" s="1534"/>
      <c r="I288" s="1534"/>
      <c r="J288" s="1483" t="str">
        <f>IF(AI289,"○","×")</f>
        <v>×</v>
      </c>
      <c r="K288" s="1484"/>
      <c r="L288" s="1484"/>
      <c r="M288" s="1484"/>
      <c r="N288" s="1485"/>
      <c r="O288" s="1471" t="s">
        <v>209</v>
      </c>
      <c r="P288" s="1393"/>
      <c r="Q288" s="1393"/>
      <c r="R288" s="601"/>
      <c r="S288" s="601"/>
      <c r="T288" s="601"/>
      <c r="U288" s="601"/>
      <c r="V288" s="636"/>
      <c r="W288" s="636"/>
      <c r="X288" s="636"/>
      <c r="Y288" s="636"/>
      <c r="Z288" s="636"/>
      <c r="AA288" s="636"/>
      <c r="AB288" s="636"/>
      <c r="AC288" s="636"/>
      <c r="AD288" s="636"/>
      <c r="AE288" s="601"/>
      <c r="AF288" s="601"/>
      <c r="AG288" s="601"/>
    </row>
    <row r="289" spans="1:35" ht="15" customHeight="1">
      <c r="A289" s="1399" t="s">
        <v>115</v>
      </c>
      <c r="B289" s="1399"/>
      <c r="C289" s="1399"/>
      <c r="D289" s="1399"/>
      <c r="E289" s="1399"/>
      <c r="F289" s="1603"/>
      <c r="G289" s="1603"/>
      <c r="H289" s="1603"/>
      <c r="I289" s="1603"/>
      <c r="J289" s="1604"/>
      <c r="K289" s="1604"/>
      <c r="L289" s="601"/>
      <c r="M289" s="601"/>
      <c r="N289" s="601"/>
      <c r="O289" s="601"/>
      <c r="P289" s="601"/>
      <c r="Q289" s="601"/>
      <c r="R289" s="601"/>
      <c r="S289" s="601"/>
      <c r="T289" s="601"/>
      <c r="U289" s="601"/>
      <c r="V289" s="920"/>
      <c r="W289" s="920"/>
      <c r="X289" s="920"/>
      <c r="Y289" s="920"/>
      <c r="Z289" s="920"/>
      <c r="AA289" s="920"/>
      <c r="AB289" s="920"/>
      <c r="AC289" s="920"/>
      <c r="AD289" s="920"/>
      <c r="AE289" s="636"/>
      <c r="AF289" s="601"/>
      <c r="AG289" s="601"/>
      <c r="AH289" s="95"/>
      <c r="AI289" s="914" t="b">
        <f>F289="申請する"</f>
        <v>0</v>
      </c>
    </row>
    <row r="290" spans="1:35" ht="15" customHeight="1">
      <c r="A290" s="1346" t="s">
        <v>69</v>
      </c>
      <c r="B290" s="1346"/>
      <c r="C290" s="1346"/>
      <c r="D290" s="1346"/>
      <c r="E290" s="1346"/>
      <c r="F290" s="1346"/>
      <c r="G290" s="1346"/>
      <c r="H290" s="1346"/>
      <c r="I290" s="1346"/>
      <c r="J290" s="1346"/>
      <c r="K290" s="1346"/>
      <c r="L290" s="1346"/>
      <c r="M290" s="1346"/>
      <c r="N290" s="1346"/>
      <c r="O290" s="1346"/>
      <c r="P290" s="1346"/>
      <c r="Q290" s="1346"/>
      <c r="R290" s="1346"/>
      <c r="S290" s="1346"/>
      <c r="T290" s="1346"/>
      <c r="U290" s="1346"/>
      <c r="V290" s="1346"/>
      <c r="W290" s="1346"/>
      <c r="X290" s="1346"/>
      <c r="Y290" s="1346"/>
      <c r="Z290" s="1346"/>
      <c r="AA290" s="1346"/>
      <c r="AB290" s="1346"/>
      <c r="AC290" s="1346"/>
      <c r="AD290" s="1346"/>
      <c r="AE290" s="1346"/>
      <c r="AF290" s="1346"/>
      <c r="AG290" s="1346"/>
    </row>
    <row r="291" spans="1:35" ht="15" customHeight="1" thickBot="1">
      <c r="A291" s="1134"/>
      <c r="B291" s="1134"/>
      <c r="C291" s="1134"/>
      <c r="D291" s="1134"/>
      <c r="E291" s="1134"/>
      <c r="F291" s="1134"/>
      <c r="G291" s="1134"/>
      <c r="H291" s="1134"/>
      <c r="I291" s="1134"/>
      <c r="J291" s="1134"/>
      <c r="K291" s="1134"/>
      <c r="L291" s="1134"/>
      <c r="M291" s="1134"/>
      <c r="N291" s="1134"/>
      <c r="O291" s="1134"/>
      <c r="P291" s="1134"/>
      <c r="Q291" s="1134"/>
      <c r="R291" s="1134"/>
      <c r="S291" s="1134"/>
      <c r="T291" s="1134"/>
      <c r="U291" s="1134"/>
      <c r="V291" s="1134"/>
      <c r="W291" s="1134"/>
      <c r="X291" s="1134"/>
      <c r="Y291" s="1134"/>
      <c r="Z291" s="1134"/>
      <c r="AA291" s="1134"/>
      <c r="AB291" s="1134"/>
      <c r="AC291" s="1134"/>
      <c r="AD291" s="1134"/>
      <c r="AE291" s="1134"/>
      <c r="AF291" s="1134"/>
      <c r="AG291" s="1134"/>
    </row>
    <row r="292" spans="1:35" ht="15" customHeight="1" thickBot="1">
      <c r="A292" s="1534" t="s">
        <v>1240</v>
      </c>
      <c r="B292" s="1534"/>
      <c r="C292" s="1534"/>
      <c r="D292" s="1534"/>
      <c r="E292" s="1534"/>
      <c r="F292" s="1534"/>
      <c r="G292" s="1534"/>
      <c r="H292" s="1534"/>
      <c r="I292" s="1534"/>
      <c r="J292" s="1483" t="str">
        <f>IF(AI293,"○","×")</f>
        <v>×</v>
      </c>
      <c r="K292" s="1484"/>
      <c r="L292" s="1484"/>
      <c r="M292" s="1484"/>
      <c r="N292" s="1485"/>
      <c r="O292" s="1471" t="s">
        <v>209</v>
      </c>
      <c r="P292" s="1393"/>
      <c r="Q292" s="1393"/>
      <c r="R292" s="601"/>
      <c r="S292" s="601"/>
      <c r="T292" s="601"/>
      <c r="U292" s="601"/>
      <c r="V292" s="636"/>
      <c r="W292" s="636"/>
      <c r="X292" s="636"/>
      <c r="Y292" s="636"/>
      <c r="Z292" s="636"/>
      <c r="AA292" s="636"/>
      <c r="AB292" s="636"/>
      <c r="AC292" s="636"/>
      <c r="AD292" s="636"/>
      <c r="AE292" s="601"/>
      <c r="AF292" s="601"/>
      <c r="AG292" s="601"/>
    </row>
    <row r="293" spans="1:35" ht="15" customHeight="1">
      <c r="A293" s="1399" t="s">
        <v>115</v>
      </c>
      <c r="B293" s="1399"/>
      <c r="C293" s="1399"/>
      <c r="D293" s="1399"/>
      <c r="E293" s="1399"/>
      <c r="F293" s="1603"/>
      <c r="G293" s="1603"/>
      <c r="H293" s="1603"/>
      <c r="I293" s="1603"/>
      <c r="J293" s="1604"/>
      <c r="K293" s="1604"/>
      <c r="L293" s="601"/>
      <c r="M293" s="601"/>
      <c r="N293" s="601"/>
      <c r="O293" s="601"/>
      <c r="P293" s="601"/>
      <c r="Q293" s="601"/>
      <c r="R293" s="601"/>
      <c r="S293" s="601"/>
      <c r="T293" s="601"/>
      <c r="U293" s="601"/>
      <c r="V293" s="1133"/>
      <c r="W293" s="1133"/>
      <c r="X293" s="1133"/>
      <c r="Y293" s="1133"/>
      <c r="Z293" s="1133"/>
      <c r="AA293" s="1133"/>
      <c r="AB293" s="1133"/>
      <c r="AC293" s="1133"/>
      <c r="AD293" s="1133"/>
      <c r="AE293" s="636"/>
      <c r="AF293" s="601"/>
      <c r="AG293" s="601"/>
      <c r="AI293" s="1135" t="b">
        <f>F293="申請する"</f>
        <v>0</v>
      </c>
    </row>
    <row r="294" spans="1:35" ht="15" customHeight="1">
      <c r="A294" s="1346" t="s">
        <v>69</v>
      </c>
      <c r="B294" s="1346"/>
      <c r="C294" s="1346"/>
      <c r="D294" s="1346"/>
      <c r="E294" s="1346"/>
      <c r="F294" s="1346"/>
      <c r="G294" s="1346"/>
      <c r="H294" s="1346"/>
      <c r="I294" s="1346"/>
      <c r="J294" s="1346"/>
      <c r="K294" s="1346"/>
      <c r="L294" s="1346"/>
      <c r="M294" s="1346"/>
      <c r="N294" s="1346"/>
      <c r="O294" s="1346"/>
      <c r="P294" s="1346"/>
      <c r="Q294" s="1346"/>
      <c r="R294" s="1346"/>
      <c r="S294" s="1346"/>
      <c r="T294" s="1346"/>
      <c r="U294" s="1346"/>
      <c r="V294" s="1346"/>
      <c r="W294" s="1346"/>
      <c r="X294" s="1346"/>
      <c r="Y294" s="1346"/>
      <c r="Z294" s="1346"/>
      <c r="AA294" s="1346"/>
      <c r="AB294" s="1346"/>
      <c r="AC294" s="1346"/>
      <c r="AD294" s="1346"/>
      <c r="AE294" s="1346"/>
      <c r="AF294" s="1346"/>
      <c r="AG294" s="1346"/>
    </row>
    <row r="295" spans="1:35" ht="15" customHeight="1" thickBot="1">
      <c r="A295" s="601"/>
      <c r="B295" s="601"/>
      <c r="C295" s="601"/>
      <c r="D295" s="601"/>
      <c r="E295" s="601"/>
      <c r="F295" s="601"/>
      <c r="G295" s="601"/>
      <c r="H295" s="601"/>
      <c r="I295" s="601"/>
      <c r="J295" s="601"/>
      <c r="K295" s="601"/>
      <c r="L295" s="601"/>
      <c r="M295" s="601"/>
      <c r="N295" s="601"/>
      <c r="O295" s="601"/>
      <c r="P295" s="601"/>
      <c r="Q295" s="601"/>
      <c r="R295" s="601"/>
      <c r="S295" s="601"/>
      <c r="T295" s="601"/>
      <c r="U295" s="601"/>
      <c r="V295" s="601"/>
      <c r="W295" s="601"/>
      <c r="X295" s="601"/>
      <c r="Y295" s="601"/>
      <c r="Z295" s="601"/>
      <c r="AA295" s="601"/>
      <c r="AB295" s="601"/>
      <c r="AC295" s="601"/>
      <c r="AD295" s="601"/>
      <c r="AE295" s="601"/>
      <c r="AF295" s="601"/>
      <c r="AG295" s="601"/>
    </row>
    <row r="296" spans="1:35" ht="15" customHeight="1" thickBot="1">
      <c r="A296" s="1562" t="s">
        <v>1241</v>
      </c>
      <c r="B296" s="1562"/>
      <c r="C296" s="1562"/>
      <c r="D296" s="1562"/>
      <c r="E296" s="1562"/>
      <c r="F296" s="1562"/>
      <c r="G296" s="1562"/>
      <c r="H296" s="1562"/>
      <c r="I296" s="1562"/>
      <c r="J296" s="1483" t="str">
        <f>IF(AND(AI297,AI299,AI300),AA300,"×")</f>
        <v>×</v>
      </c>
      <c r="K296" s="1484"/>
      <c r="L296" s="1484"/>
      <c r="M296" s="1484"/>
      <c r="N296" s="1485"/>
      <c r="O296" s="1471" t="s">
        <v>209</v>
      </c>
      <c r="P296" s="1393"/>
      <c r="Q296" s="1393"/>
      <c r="R296" s="601"/>
      <c r="S296" s="601"/>
      <c r="T296" s="601"/>
      <c r="U296" s="601"/>
      <c r="V296" s="636"/>
      <c r="W296" s="636"/>
      <c r="X296" s="636"/>
      <c r="Y296" s="636"/>
      <c r="Z296" s="636"/>
      <c r="AA296" s="636"/>
      <c r="AB296" s="636"/>
      <c r="AC296" s="636"/>
      <c r="AD296" s="636"/>
      <c r="AE296" s="601"/>
      <c r="AF296" s="601"/>
      <c r="AG296" s="601"/>
    </row>
    <row r="297" spans="1:35" ht="15" customHeight="1">
      <c r="A297" s="1399" t="s">
        <v>115</v>
      </c>
      <c r="B297" s="1399"/>
      <c r="C297" s="1399"/>
      <c r="D297" s="1399"/>
      <c r="E297" s="1399"/>
      <c r="F297" s="1603"/>
      <c r="G297" s="1603"/>
      <c r="H297" s="1603"/>
      <c r="I297" s="1603"/>
      <c r="J297" s="1604"/>
      <c r="K297" s="1604"/>
      <c r="L297" s="601"/>
      <c r="M297" s="601"/>
      <c r="N297" s="601"/>
      <c r="O297" s="601"/>
      <c r="P297" s="601"/>
      <c r="Q297" s="601"/>
      <c r="R297" s="601"/>
      <c r="S297" s="601"/>
      <c r="T297" s="601"/>
      <c r="U297" s="601"/>
      <c r="V297" s="920"/>
      <c r="W297" s="920"/>
      <c r="X297" s="920"/>
      <c r="Y297" s="920"/>
      <c r="Z297" s="920"/>
      <c r="AA297" s="920"/>
      <c r="AB297" s="920"/>
      <c r="AC297" s="920"/>
      <c r="AD297" s="920"/>
      <c r="AE297" s="601"/>
      <c r="AF297" s="601"/>
      <c r="AG297" s="601"/>
      <c r="AI297" s="914" t="b">
        <f>F297="申請する"</f>
        <v>0</v>
      </c>
    </row>
    <row r="298" spans="1:35" ht="15" customHeight="1">
      <c r="A298" s="1448" t="s">
        <v>674</v>
      </c>
      <c r="B298" s="1449"/>
      <c r="C298" s="1449"/>
      <c r="D298" s="1449"/>
      <c r="E298" s="1449"/>
      <c r="F298" s="1455" t="s">
        <v>99</v>
      </c>
      <c r="G298" s="1455"/>
      <c r="H298" s="1455"/>
      <c r="I298" s="1455"/>
      <c r="J298" s="1455"/>
      <c r="K298" s="1455"/>
      <c r="L298" s="1455"/>
      <c r="M298" s="1455"/>
      <c r="N298" s="1455"/>
      <c r="O298" s="1455"/>
      <c r="P298" s="1455"/>
      <c r="Q298" s="1455"/>
      <c r="R298" s="1455"/>
      <c r="S298" s="1455"/>
      <c r="T298" s="1455"/>
      <c r="U298" s="1455"/>
      <c r="V298" s="1455"/>
      <c r="W298" s="1455"/>
      <c r="X298" s="1455"/>
      <c r="Y298" s="1455"/>
      <c r="Z298" s="1398"/>
      <c r="AA298" s="1610" t="s">
        <v>210</v>
      </c>
      <c r="AB298" s="1789"/>
      <c r="AC298" s="1789"/>
      <c r="AD298" s="1611"/>
      <c r="AE298" s="601"/>
      <c r="AF298" s="601"/>
      <c r="AG298" s="601"/>
    </row>
    <row r="299" spans="1:35" ht="39.950000000000003" customHeight="1">
      <c r="A299" s="1450"/>
      <c r="B299" s="1451"/>
      <c r="C299" s="1451"/>
      <c r="D299" s="1451"/>
      <c r="E299" s="1451"/>
      <c r="F299" s="921">
        <v>1</v>
      </c>
      <c r="G299" s="1486" t="s">
        <v>1114</v>
      </c>
      <c r="H299" s="1486"/>
      <c r="I299" s="1486"/>
      <c r="J299" s="1486"/>
      <c r="K299" s="1486"/>
      <c r="L299" s="1486"/>
      <c r="M299" s="1486"/>
      <c r="N299" s="1486"/>
      <c r="O299" s="1486"/>
      <c r="P299" s="1486"/>
      <c r="Q299" s="1486"/>
      <c r="R299" s="1486"/>
      <c r="S299" s="1486"/>
      <c r="T299" s="1486"/>
      <c r="U299" s="1486"/>
      <c r="V299" s="1486"/>
      <c r="W299" s="1486"/>
      <c r="X299" s="1486"/>
      <c r="Y299" s="1486"/>
      <c r="Z299" s="1519"/>
      <c r="AA299" s="1495"/>
      <c r="AB299" s="1496"/>
      <c r="AC299" s="1496"/>
      <c r="AD299" s="1497"/>
      <c r="AE299" s="601"/>
      <c r="AF299" s="601"/>
      <c r="AG299" s="601"/>
      <c r="AI299" s="172" t="b">
        <f>AA299="○"</f>
        <v>0</v>
      </c>
    </row>
    <row r="300" spans="1:35" ht="15" customHeight="1">
      <c r="A300" s="1450"/>
      <c r="B300" s="1451"/>
      <c r="C300" s="1451"/>
      <c r="D300" s="1451"/>
      <c r="E300" s="1451"/>
      <c r="F300" s="907">
        <v>2</v>
      </c>
      <c r="G300" s="1513" t="s">
        <v>1136</v>
      </c>
      <c r="H300" s="1513"/>
      <c r="I300" s="1513"/>
      <c r="J300" s="1513"/>
      <c r="K300" s="1513"/>
      <c r="L300" s="1513"/>
      <c r="M300" s="1513"/>
      <c r="N300" s="1513"/>
      <c r="O300" s="1513"/>
      <c r="P300" s="1513"/>
      <c r="Q300" s="1513"/>
      <c r="R300" s="1513"/>
      <c r="S300" s="1513"/>
      <c r="T300" s="1513"/>
      <c r="U300" s="1513"/>
      <c r="V300" s="1513"/>
      <c r="W300" s="1513"/>
      <c r="X300" s="1513"/>
      <c r="Y300" s="1513"/>
      <c r="Z300" s="1514"/>
      <c r="AA300" s="1457" t="str">
        <f>IF(AND(AI304,AI302),"配置",IF(AND(AI304,AI303),"兼務",IF(AI305,"嘱託","×")))</f>
        <v>×</v>
      </c>
      <c r="AB300" s="1455"/>
      <c r="AC300" s="1455"/>
      <c r="AD300" s="1398"/>
      <c r="AE300" s="601"/>
      <c r="AF300" s="601"/>
      <c r="AG300" s="601"/>
      <c r="AI300" s="172" t="b">
        <f>OR(AA300="配置",AA300="兼務",AA300="嘱託")</f>
        <v>0</v>
      </c>
    </row>
    <row r="301" spans="1:35" ht="15" customHeight="1">
      <c r="A301" s="1450"/>
      <c r="B301" s="1451"/>
      <c r="C301" s="1451"/>
      <c r="D301" s="1451"/>
      <c r="E301" s="1451"/>
      <c r="F301" s="1774" t="s">
        <v>673</v>
      </c>
      <c r="G301" s="1775"/>
      <c r="H301" s="1428" t="s">
        <v>671</v>
      </c>
      <c r="I301" s="1428"/>
      <c r="J301" s="1428"/>
      <c r="K301" s="1428"/>
      <c r="L301" s="1428"/>
      <c r="M301" s="1428"/>
      <c r="N301" s="1428"/>
      <c r="O301" s="1428"/>
      <c r="P301" s="1428"/>
      <c r="Q301" s="1428"/>
      <c r="R301" s="1428"/>
      <c r="S301" s="1428"/>
      <c r="T301" s="1428"/>
      <c r="U301" s="1428"/>
      <c r="V301" s="1428"/>
      <c r="W301" s="1428"/>
      <c r="X301" s="1428"/>
      <c r="Y301" s="1428"/>
      <c r="Z301" s="1429"/>
      <c r="AA301" s="1423" t="str">
        <f>IF(OR(AI302,AI303),"○","×")</f>
        <v>×</v>
      </c>
      <c r="AB301" s="1424"/>
      <c r="AC301" s="1424"/>
      <c r="AD301" s="1735"/>
      <c r="AE301" s="636"/>
      <c r="AF301" s="636"/>
      <c r="AG301" s="636"/>
      <c r="AI301" s="172" t="b">
        <f>AA301="○"</f>
        <v>0</v>
      </c>
    </row>
    <row r="302" spans="1:35" ht="15" customHeight="1">
      <c r="A302" s="1450"/>
      <c r="B302" s="1451"/>
      <c r="C302" s="1451"/>
      <c r="D302" s="1451"/>
      <c r="E302" s="1451"/>
      <c r="F302" s="1719" t="s">
        <v>490</v>
      </c>
      <c r="G302" s="1720"/>
      <c r="H302" s="1720"/>
      <c r="I302" s="1588" t="s">
        <v>1137</v>
      </c>
      <c r="J302" s="1588"/>
      <c r="K302" s="1588"/>
      <c r="L302" s="1588"/>
      <c r="M302" s="1588"/>
      <c r="N302" s="1588"/>
      <c r="O302" s="1588"/>
      <c r="P302" s="1588"/>
      <c r="Q302" s="1588"/>
      <c r="R302" s="1588"/>
      <c r="S302" s="1588"/>
      <c r="T302" s="1588"/>
      <c r="U302" s="1588"/>
      <c r="V302" s="1588"/>
      <c r="W302" s="1588"/>
      <c r="X302" s="1588"/>
      <c r="Y302" s="1588"/>
      <c r="Z302" s="1776"/>
      <c r="AA302" s="1360"/>
      <c r="AB302" s="1361"/>
      <c r="AC302" s="1361"/>
      <c r="AD302" s="1362"/>
      <c r="AE302" s="636"/>
      <c r="AF302" s="636"/>
      <c r="AG302" s="636"/>
      <c r="AI302" s="172" t="b">
        <f>AA302="○"</f>
        <v>0</v>
      </c>
    </row>
    <row r="303" spans="1:35" ht="15" customHeight="1">
      <c r="A303" s="1450"/>
      <c r="B303" s="1451"/>
      <c r="C303" s="1451"/>
      <c r="D303" s="1451"/>
      <c r="E303" s="1451"/>
      <c r="F303" s="1719" t="s">
        <v>491</v>
      </c>
      <c r="G303" s="1720"/>
      <c r="H303" s="1720"/>
      <c r="I303" s="1588" t="s">
        <v>1138</v>
      </c>
      <c r="J303" s="1588"/>
      <c r="K303" s="1588"/>
      <c r="L303" s="1588"/>
      <c r="M303" s="1588"/>
      <c r="N303" s="1588"/>
      <c r="O303" s="1588"/>
      <c r="P303" s="1588"/>
      <c r="Q303" s="1588"/>
      <c r="R303" s="1588"/>
      <c r="S303" s="1588"/>
      <c r="T303" s="1588"/>
      <c r="U303" s="1588"/>
      <c r="V303" s="1588"/>
      <c r="W303" s="1588"/>
      <c r="X303" s="1588"/>
      <c r="Y303" s="1588"/>
      <c r="Z303" s="1776"/>
      <c r="AA303" s="1360"/>
      <c r="AB303" s="1361"/>
      <c r="AC303" s="1361"/>
      <c r="AD303" s="1362"/>
      <c r="AE303" s="636"/>
      <c r="AF303" s="636"/>
      <c r="AG303" s="636"/>
      <c r="AI303" s="172" t="b">
        <f>AA303="○"</f>
        <v>0</v>
      </c>
    </row>
    <row r="304" spans="1:35" ht="15" customHeight="1">
      <c r="A304" s="1450"/>
      <c r="B304" s="1451"/>
      <c r="C304" s="1451"/>
      <c r="D304" s="1451"/>
      <c r="E304" s="1451"/>
      <c r="F304" s="1498" t="s">
        <v>590</v>
      </c>
      <c r="G304" s="1499"/>
      <c r="H304" s="1499"/>
      <c r="I304" s="1489" t="s">
        <v>591</v>
      </c>
      <c r="J304" s="1489"/>
      <c r="K304" s="1489"/>
      <c r="L304" s="1489"/>
      <c r="M304" s="1489"/>
      <c r="N304" s="1489"/>
      <c r="O304" s="1489"/>
      <c r="P304" s="1489"/>
      <c r="Q304" s="1489"/>
      <c r="R304" s="1489"/>
      <c r="S304" s="1489"/>
      <c r="T304" s="1489"/>
      <c r="U304" s="1489"/>
      <c r="V304" s="1489"/>
      <c r="W304" s="1489"/>
      <c r="X304" s="1489"/>
      <c r="Y304" s="1489"/>
      <c r="Z304" s="1490"/>
      <c r="AA304" s="1576" t="str">
        <f>【様式５】職員数算出表!O64</f>
        <v>-</v>
      </c>
      <c r="AB304" s="1577"/>
      <c r="AC304" s="1577"/>
      <c r="AD304" s="1773"/>
      <c r="AE304" s="636"/>
      <c r="AF304" s="636"/>
      <c r="AG304" s="636"/>
      <c r="AI304" s="172" t="b">
        <f>AA304="○"</f>
        <v>0</v>
      </c>
    </row>
    <row r="305" spans="1:35" ht="15" customHeight="1">
      <c r="A305" s="1452"/>
      <c r="B305" s="1453"/>
      <c r="C305" s="1453"/>
      <c r="D305" s="1453"/>
      <c r="E305" s="1453"/>
      <c r="F305" s="1777" t="s">
        <v>672</v>
      </c>
      <c r="G305" s="1778"/>
      <c r="H305" s="1557" t="s">
        <v>1135</v>
      </c>
      <c r="I305" s="1557"/>
      <c r="J305" s="1557"/>
      <c r="K305" s="1557"/>
      <c r="L305" s="1557"/>
      <c r="M305" s="1557"/>
      <c r="N305" s="1557"/>
      <c r="O305" s="1557"/>
      <c r="P305" s="1557"/>
      <c r="Q305" s="1557"/>
      <c r="R305" s="1557"/>
      <c r="S305" s="1557"/>
      <c r="T305" s="1557"/>
      <c r="U305" s="1557"/>
      <c r="V305" s="1557"/>
      <c r="W305" s="1557"/>
      <c r="X305" s="1557"/>
      <c r="Y305" s="1557"/>
      <c r="Z305" s="1558"/>
      <c r="AA305" s="1373"/>
      <c r="AB305" s="1374"/>
      <c r="AC305" s="1374"/>
      <c r="AD305" s="1375"/>
      <c r="AE305" s="636"/>
      <c r="AF305" s="636"/>
      <c r="AG305" s="636"/>
      <c r="AI305" s="172" t="b">
        <f>AA305="○"</f>
        <v>0</v>
      </c>
    </row>
    <row r="306" spans="1:35" ht="15" customHeight="1">
      <c r="A306" s="1389" t="s">
        <v>48</v>
      </c>
      <c r="B306" s="1390"/>
      <c r="C306" s="1390"/>
      <c r="D306" s="1390"/>
      <c r="E306" s="1391"/>
      <c r="F306" s="1605" t="s">
        <v>615</v>
      </c>
      <c r="G306" s="1486"/>
      <c r="H306" s="1486"/>
      <c r="I306" s="1486"/>
      <c r="J306" s="1486"/>
      <c r="K306" s="1486"/>
      <c r="L306" s="1486"/>
      <c r="M306" s="1486"/>
      <c r="N306" s="1486"/>
      <c r="O306" s="1486"/>
      <c r="P306" s="1486"/>
      <c r="Q306" s="1486"/>
      <c r="R306" s="1486"/>
      <c r="S306" s="1486"/>
      <c r="T306" s="1486"/>
      <c r="U306" s="1486"/>
      <c r="V306" s="1486"/>
      <c r="W306" s="1486"/>
      <c r="X306" s="1486"/>
      <c r="Y306" s="1486"/>
      <c r="Z306" s="1486"/>
      <c r="AA306" s="1486"/>
      <c r="AB306" s="1486"/>
      <c r="AC306" s="1486"/>
      <c r="AD306" s="1519"/>
      <c r="AE306" s="601"/>
      <c r="AF306" s="601"/>
      <c r="AG306" s="601"/>
    </row>
    <row r="307" spans="1:35" ht="15" customHeight="1">
      <c r="A307" s="1392"/>
      <c r="B307" s="1393"/>
      <c r="C307" s="1393"/>
      <c r="D307" s="1393"/>
      <c r="E307" s="1394"/>
      <c r="F307" s="1403" t="s">
        <v>592</v>
      </c>
      <c r="G307" s="1346"/>
      <c r="H307" s="1346"/>
      <c r="I307" s="1346"/>
      <c r="J307" s="1346"/>
      <c r="K307" s="1346"/>
      <c r="L307" s="1346"/>
      <c r="M307" s="1346"/>
      <c r="N307" s="1346"/>
      <c r="O307" s="1346"/>
      <c r="P307" s="1346"/>
      <c r="Q307" s="1346"/>
      <c r="R307" s="1346"/>
      <c r="S307" s="1346"/>
      <c r="T307" s="1346"/>
      <c r="U307" s="1346"/>
      <c r="V307" s="1346"/>
      <c r="W307" s="1346"/>
      <c r="X307" s="1346"/>
      <c r="Y307" s="1346"/>
      <c r="Z307" s="1346"/>
      <c r="AA307" s="1346"/>
      <c r="AB307" s="1346"/>
      <c r="AC307" s="1346"/>
      <c r="AD307" s="1404"/>
      <c r="AE307" s="601"/>
      <c r="AF307" s="601"/>
      <c r="AG307" s="601"/>
    </row>
    <row r="308" spans="1:35" ht="114.95" customHeight="1">
      <c r="A308" s="1392"/>
      <c r="B308" s="1393"/>
      <c r="C308" s="1393"/>
      <c r="D308" s="1393"/>
      <c r="E308" s="1394"/>
      <c r="F308" s="1403" t="s">
        <v>864</v>
      </c>
      <c r="G308" s="1346"/>
      <c r="H308" s="1346"/>
      <c r="I308" s="1346"/>
      <c r="J308" s="1346"/>
      <c r="K308" s="1346"/>
      <c r="L308" s="1346"/>
      <c r="M308" s="1346"/>
      <c r="N308" s="1346"/>
      <c r="O308" s="1346"/>
      <c r="P308" s="1346"/>
      <c r="Q308" s="1346"/>
      <c r="R308" s="1346"/>
      <c r="S308" s="1346"/>
      <c r="T308" s="1346"/>
      <c r="U308" s="1346"/>
      <c r="V308" s="1346"/>
      <c r="W308" s="1346"/>
      <c r="X308" s="1346"/>
      <c r="Y308" s="1346"/>
      <c r="Z308" s="1346"/>
      <c r="AA308" s="1346"/>
      <c r="AB308" s="1346"/>
      <c r="AC308" s="1346"/>
      <c r="AD308" s="1404"/>
      <c r="AE308" s="601"/>
      <c r="AF308" s="601"/>
      <c r="AG308" s="601"/>
    </row>
    <row r="309" spans="1:35" ht="15" customHeight="1">
      <c r="A309" s="1395"/>
      <c r="B309" s="1396"/>
      <c r="C309" s="1396"/>
      <c r="D309" s="1396"/>
      <c r="E309" s="1397"/>
      <c r="F309" s="1548" t="s">
        <v>642</v>
      </c>
      <c r="G309" s="1516"/>
      <c r="H309" s="1516"/>
      <c r="I309" s="1516"/>
      <c r="J309" s="1516"/>
      <c r="K309" s="1516"/>
      <c r="L309" s="1516"/>
      <c r="M309" s="1516"/>
      <c r="N309" s="1516"/>
      <c r="O309" s="1516"/>
      <c r="P309" s="1516"/>
      <c r="Q309" s="1516"/>
      <c r="R309" s="1516"/>
      <c r="S309" s="1516"/>
      <c r="T309" s="1516"/>
      <c r="U309" s="1516"/>
      <c r="V309" s="1516"/>
      <c r="W309" s="1516"/>
      <c r="X309" s="1516"/>
      <c r="Y309" s="1516"/>
      <c r="Z309" s="1516"/>
      <c r="AA309" s="1516"/>
      <c r="AB309" s="1516"/>
      <c r="AC309" s="1516"/>
      <c r="AD309" s="1549"/>
      <c r="AE309" s="601"/>
      <c r="AF309" s="601"/>
      <c r="AG309" s="601"/>
    </row>
    <row r="310" spans="1:35" ht="15" customHeight="1">
      <c r="A310" s="601" t="s">
        <v>1134</v>
      </c>
      <c r="B310" s="601"/>
      <c r="C310" s="601"/>
      <c r="D310" s="601"/>
      <c r="E310" s="601"/>
      <c r="F310" s="601"/>
      <c r="G310" s="601"/>
      <c r="H310" s="601"/>
      <c r="I310" s="601"/>
      <c r="J310" s="601"/>
      <c r="K310" s="601"/>
      <c r="L310" s="601"/>
      <c r="M310" s="601"/>
      <c r="N310" s="601"/>
      <c r="O310" s="601"/>
      <c r="P310" s="601"/>
      <c r="Q310" s="601"/>
      <c r="R310" s="601"/>
      <c r="S310" s="601"/>
      <c r="T310" s="601"/>
      <c r="U310" s="601"/>
      <c r="V310" s="601"/>
      <c r="W310" s="601"/>
      <c r="X310" s="601"/>
      <c r="Y310" s="601"/>
      <c r="Z310" s="601"/>
      <c r="AA310" s="601"/>
      <c r="AB310" s="601"/>
      <c r="AC310" s="601"/>
      <c r="AD310" s="601"/>
      <c r="AE310" s="601"/>
      <c r="AF310" s="601"/>
      <c r="AG310" s="601"/>
    </row>
    <row r="311" spans="1:35" ht="15" customHeight="1">
      <c r="A311" s="1399" t="s">
        <v>148</v>
      </c>
      <c r="B311" s="1399"/>
      <c r="C311" s="1399"/>
      <c r="D311" s="1399"/>
      <c r="E311" s="1399"/>
      <c r="F311" s="1399" t="s">
        <v>451</v>
      </c>
      <c r="G311" s="1399"/>
      <c r="H311" s="1399"/>
      <c r="I311" s="1399"/>
      <c r="J311" s="1399"/>
      <c r="K311" s="1399"/>
      <c r="L311" s="1399"/>
      <c r="M311" s="1399"/>
      <c r="N311" s="1399"/>
      <c r="O311" s="1399"/>
      <c r="P311" s="1399"/>
      <c r="Q311" s="1399"/>
      <c r="R311" s="1399"/>
      <c r="S311" s="1399"/>
      <c r="T311" s="1399"/>
      <c r="U311" s="1399"/>
      <c r="V311" s="1399"/>
      <c r="W311" s="1399"/>
      <c r="X311" s="1399"/>
      <c r="Y311" s="1399"/>
      <c r="Z311" s="1399"/>
      <c r="AA311" s="1399"/>
      <c r="AB311" s="1399"/>
      <c r="AC311" s="1399"/>
      <c r="AD311" s="1399"/>
      <c r="AE311" s="601"/>
      <c r="AF311" s="601"/>
      <c r="AG311" s="601"/>
    </row>
    <row r="312" spans="1:35" ht="24.95" customHeight="1">
      <c r="A312" s="1780" t="s">
        <v>675</v>
      </c>
      <c r="B312" s="1780"/>
      <c r="C312" s="1780"/>
      <c r="D312" s="1780"/>
      <c r="E312" s="1780"/>
      <c r="F312" s="1781" t="s">
        <v>688</v>
      </c>
      <c r="G312" s="1781"/>
      <c r="H312" s="1781"/>
      <c r="I312" s="1781"/>
      <c r="J312" s="1781"/>
      <c r="K312" s="1781"/>
      <c r="L312" s="1781"/>
      <c r="M312" s="1781"/>
      <c r="N312" s="1781"/>
      <c r="O312" s="1781"/>
      <c r="P312" s="1781"/>
      <c r="Q312" s="1781"/>
      <c r="R312" s="1781"/>
      <c r="S312" s="1781"/>
      <c r="T312" s="1781"/>
      <c r="U312" s="1781"/>
      <c r="V312" s="1781"/>
      <c r="W312" s="1781"/>
      <c r="X312" s="1781"/>
      <c r="Y312" s="1781"/>
      <c r="Z312" s="1781"/>
      <c r="AA312" s="1781"/>
      <c r="AB312" s="1781"/>
      <c r="AC312" s="1781"/>
      <c r="AD312" s="1781"/>
      <c r="AE312" s="601"/>
      <c r="AF312" s="601"/>
      <c r="AG312" s="601"/>
    </row>
    <row r="313" spans="1:35" ht="24.95" customHeight="1">
      <c r="A313" s="1782" t="s">
        <v>676</v>
      </c>
      <c r="B313" s="1782"/>
      <c r="C313" s="1782"/>
      <c r="D313" s="1782"/>
      <c r="E313" s="1782"/>
      <c r="F313" s="1779" t="s">
        <v>689</v>
      </c>
      <c r="G313" s="1779"/>
      <c r="H313" s="1779"/>
      <c r="I313" s="1779"/>
      <c r="J313" s="1779"/>
      <c r="K313" s="1779"/>
      <c r="L313" s="1779"/>
      <c r="M313" s="1779"/>
      <c r="N313" s="1779"/>
      <c r="O313" s="1779"/>
      <c r="P313" s="1779"/>
      <c r="Q313" s="1779"/>
      <c r="R313" s="1779"/>
      <c r="S313" s="1779"/>
      <c r="T313" s="1779"/>
      <c r="U313" s="1779"/>
      <c r="V313" s="1779"/>
      <c r="W313" s="1779"/>
      <c r="X313" s="1779"/>
      <c r="Y313" s="1779"/>
      <c r="Z313" s="1779"/>
      <c r="AA313" s="1779"/>
      <c r="AB313" s="1779"/>
      <c r="AC313" s="1779"/>
      <c r="AD313" s="1779"/>
      <c r="AE313" s="601"/>
      <c r="AF313" s="601"/>
      <c r="AG313" s="601"/>
    </row>
    <row r="314" spans="1:35" ht="15" customHeight="1">
      <c r="A314" s="1771" t="s">
        <v>677</v>
      </c>
      <c r="B314" s="1771"/>
      <c r="C314" s="1771"/>
      <c r="D314" s="1771"/>
      <c r="E314" s="1771"/>
      <c r="F314" s="1772" t="s">
        <v>690</v>
      </c>
      <c r="G314" s="1772"/>
      <c r="H314" s="1772"/>
      <c r="I314" s="1772"/>
      <c r="J314" s="1772"/>
      <c r="K314" s="1772"/>
      <c r="L314" s="1772"/>
      <c r="M314" s="1772"/>
      <c r="N314" s="1772"/>
      <c r="O314" s="1772"/>
      <c r="P314" s="1772"/>
      <c r="Q314" s="1772"/>
      <c r="R314" s="1772"/>
      <c r="S314" s="1772"/>
      <c r="T314" s="1772"/>
      <c r="U314" s="1772"/>
      <c r="V314" s="1772"/>
      <c r="W314" s="1772"/>
      <c r="X314" s="1772"/>
      <c r="Y314" s="1772"/>
      <c r="Z314" s="1772"/>
      <c r="AA314" s="1772"/>
      <c r="AB314" s="1772"/>
      <c r="AC314" s="1772"/>
      <c r="AD314" s="1772"/>
      <c r="AE314" s="601"/>
      <c r="AF314" s="601"/>
      <c r="AG314" s="601"/>
    </row>
    <row r="315" spans="1:35" ht="15" customHeight="1">
      <c r="A315" s="601" t="s">
        <v>1133</v>
      </c>
      <c r="B315" s="601"/>
      <c r="C315" s="601"/>
      <c r="D315" s="601"/>
      <c r="E315" s="601"/>
      <c r="F315" s="601"/>
      <c r="G315" s="601"/>
      <c r="H315" s="601"/>
      <c r="I315" s="601"/>
      <c r="J315" s="601"/>
      <c r="K315" s="601"/>
      <c r="L315" s="601"/>
      <c r="M315" s="601"/>
      <c r="N315" s="601"/>
      <c r="O315" s="601"/>
      <c r="P315" s="601"/>
      <c r="Q315" s="601"/>
      <c r="R315" s="601"/>
      <c r="S315" s="601"/>
      <c r="T315" s="601"/>
      <c r="U315" s="601"/>
      <c r="V315" s="601"/>
      <c r="W315" s="601"/>
      <c r="X315" s="601"/>
      <c r="Y315" s="601"/>
      <c r="Z315" s="601"/>
      <c r="AA315" s="601"/>
      <c r="AB315" s="601"/>
      <c r="AC315" s="601"/>
      <c r="AD315" s="601"/>
      <c r="AE315" s="601"/>
      <c r="AF315" s="601"/>
      <c r="AG315" s="601"/>
    </row>
  </sheetData>
  <sheetProtection algorithmName="SHA-512" hashValue="PchChVo8QVkpJkJWavbQlwFCCEdWEfMgDuKe20cvh7RsUXea1BUatQs0XKqfvHRMgPqj7a7qTR4bkMleEZ+N3Q==" saltValue="gdaIh6YqKs9MmP/jon6fmw==" spinCount="100000" sheet="1" objects="1" scenarios="1"/>
  <mergeCells count="1080">
    <mergeCell ref="H255:T255"/>
    <mergeCell ref="I230:W230"/>
    <mergeCell ref="AS1:AT1"/>
    <mergeCell ref="G213:R213"/>
    <mergeCell ref="AL17:AM17"/>
    <mergeCell ref="B39:E39"/>
    <mergeCell ref="F39:U39"/>
    <mergeCell ref="V39:Y39"/>
    <mergeCell ref="Z39:AF39"/>
    <mergeCell ref="A292:I292"/>
    <mergeCell ref="J292:N292"/>
    <mergeCell ref="O292:Q292"/>
    <mergeCell ref="A293:E293"/>
    <mergeCell ref="F293:K293"/>
    <mergeCell ref="H239:AA239"/>
    <mergeCell ref="K277:L277"/>
    <mergeCell ref="N277:P277"/>
    <mergeCell ref="H277:J277"/>
    <mergeCell ref="F267:G267"/>
    <mergeCell ref="H241:AA241"/>
    <mergeCell ref="AB241:AC241"/>
    <mergeCell ref="H279:AE279"/>
    <mergeCell ref="H280:AA280"/>
    <mergeCell ref="AB280:AC280"/>
    <mergeCell ref="AD280:AE280"/>
    <mergeCell ref="G252:Z252"/>
    <mergeCell ref="AA252:AD252"/>
    <mergeCell ref="W277:X277"/>
    <mergeCell ref="A246:AG246"/>
    <mergeCell ref="A224:E241"/>
    <mergeCell ref="AA132:AD132"/>
    <mergeCell ref="J153:N153"/>
    <mergeCell ref="U255:X255"/>
    <mergeCell ref="Q235:R235"/>
    <mergeCell ref="F223:K223"/>
    <mergeCell ref="W235:X235"/>
    <mergeCell ref="Q277:R277"/>
    <mergeCell ref="T277:V277"/>
    <mergeCell ref="G214:R214"/>
    <mergeCell ref="T209:U209"/>
    <mergeCell ref="A211:E218"/>
    <mergeCell ref="F211:AC211"/>
    <mergeCell ref="AD239:AE239"/>
    <mergeCell ref="H238:AE238"/>
    <mergeCell ref="AF238:AG239"/>
    <mergeCell ref="F205:G205"/>
    <mergeCell ref="H232:AA232"/>
    <mergeCell ref="A261:I261"/>
    <mergeCell ref="F257:AD257"/>
    <mergeCell ref="F265:G265"/>
    <mergeCell ref="AD265:AG265"/>
    <mergeCell ref="F266:G266"/>
    <mergeCell ref="X207:Y207"/>
    <mergeCell ref="F224:AC224"/>
    <mergeCell ref="G216:R216"/>
    <mergeCell ref="S216:AC216"/>
    <mergeCell ref="F269:G271"/>
    <mergeCell ref="A262:E262"/>
    <mergeCell ref="F263:AC263"/>
    <mergeCell ref="A250:E256"/>
    <mergeCell ref="H209:I209"/>
    <mergeCell ref="N236:P236"/>
    <mergeCell ref="Y256:Z256"/>
    <mergeCell ref="A242:E244"/>
    <mergeCell ref="J288:N288"/>
    <mergeCell ref="F262:K262"/>
    <mergeCell ref="O288:Q288"/>
    <mergeCell ref="A290:AG290"/>
    <mergeCell ref="A294:AG294"/>
    <mergeCell ref="F204:G204"/>
    <mergeCell ref="A208:E208"/>
    <mergeCell ref="A206:E206"/>
    <mergeCell ref="F209:G209"/>
    <mergeCell ref="A207:E207"/>
    <mergeCell ref="F207:G207"/>
    <mergeCell ref="H207:I207"/>
    <mergeCell ref="J207:K207"/>
    <mergeCell ref="L207:M207"/>
    <mergeCell ref="A210:AG210"/>
    <mergeCell ref="AF208:AG209"/>
    <mergeCell ref="A219:E220"/>
    <mergeCell ref="AD205:AE205"/>
    <mergeCell ref="A205:E205"/>
    <mergeCell ref="H273:AA273"/>
    <mergeCell ref="AC277:AD277"/>
    <mergeCell ref="T276:V276"/>
    <mergeCell ref="A257:E259"/>
    <mergeCell ref="T234:V234"/>
    <mergeCell ref="Z234:AB234"/>
    <mergeCell ref="F258:AD258"/>
    <mergeCell ref="Z236:AB236"/>
    <mergeCell ref="W234:X234"/>
    <mergeCell ref="H231:AE231"/>
    <mergeCell ref="H266:AC266"/>
    <mergeCell ref="H267:AC267"/>
    <mergeCell ref="F255:G255"/>
    <mergeCell ref="F259:AD259"/>
    <mergeCell ref="AD267:AG267"/>
    <mergeCell ref="F279:G280"/>
    <mergeCell ref="T235:V235"/>
    <mergeCell ref="H237:AE237"/>
    <mergeCell ref="A249:E249"/>
    <mergeCell ref="AC234:AD234"/>
    <mergeCell ref="F298:Z298"/>
    <mergeCell ref="AA298:AD298"/>
    <mergeCell ref="F306:AD306"/>
    <mergeCell ref="AA300:AD300"/>
    <mergeCell ref="F302:H302"/>
    <mergeCell ref="Y255:Z255"/>
    <mergeCell ref="AD241:AE241"/>
    <mergeCell ref="A286:AG286"/>
    <mergeCell ref="F284:AG284"/>
    <mergeCell ref="A289:E289"/>
    <mergeCell ref="A283:E284"/>
    <mergeCell ref="F289:K289"/>
    <mergeCell ref="AA299:AD299"/>
    <mergeCell ref="J296:N296"/>
    <mergeCell ref="O296:Q296"/>
    <mergeCell ref="A297:E297"/>
    <mergeCell ref="F297:K297"/>
    <mergeCell ref="A296:I296"/>
    <mergeCell ref="A285:AG285"/>
    <mergeCell ref="F283:AG283"/>
    <mergeCell ref="A288:I288"/>
    <mergeCell ref="W276:X276"/>
    <mergeCell ref="Z276:AB276"/>
    <mergeCell ref="A298:E305"/>
    <mergeCell ref="AB273:AE273"/>
    <mergeCell ref="F307:AD307"/>
    <mergeCell ref="I304:Z304"/>
    <mergeCell ref="A313:E313"/>
    <mergeCell ref="A311:E311"/>
    <mergeCell ref="F311:AD311"/>
    <mergeCell ref="A263:E282"/>
    <mergeCell ref="F278:G278"/>
    <mergeCell ref="H282:AA282"/>
    <mergeCell ref="AB282:AC282"/>
    <mergeCell ref="AD282:AE282"/>
    <mergeCell ref="AF278:AG278"/>
    <mergeCell ref="H274:AE274"/>
    <mergeCell ref="H275:J275"/>
    <mergeCell ref="K275:L275"/>
    <mergeCell ref="N275:P275"/>
    <mergeCell ref="Q275:R275"/>
    <mergeCell ref="T275:V275"/>
    <mergeCell ref="W275:X275"/>
    <mergeCell ref="AF279:AG280"/>
    <mergeCell ref="H269:AE269"/>
    <mergeCell ref="H276:J276"/>
    <mergeCell ref="K276:L276"/>
    <mergeCell ref="H278:AE278"/>
    <mergeCell ref="F281:G282"/>
    <mergeCell ref="H281:AE281"/>
    <mergeCell ref="AF281:AG282"/>
    <mergeCell ref="Z275:AB275"/>
    <mergeCell ref="Z277:AB277"/>
    <mergeCell ref="AD263:AG263"/>
    <mergeCell ref="G264:AC264"/>
    <mergeCell ref="AD264:AG264"/>
    <mergeCell ref="H265:AC265"/>
    <mergeCell ref="AF240:AG241"/>
    <mergeCell ref="J261:N261"/>
    <mergeCell ref="O261:Q261"/>
    <mergeCell ref="AF237:AG237"/>
    <mergeCell ref="AB239:AC239"/>
    <mergeCell ref="F237:G237"/>
    <mergeCell ref="F240:G241"/>
    <mergeCell ref="H233:AE233"/>
    <mergeCell ref="K234:L234"/>
    <mergeCell ref="N234:P234"/>
    <mergeCell ref="A314:E314"/>
    <mergeCell ref="F314:AD314"/>
    <mergeCell ref="F309:AD309"/>
    <mergeCell ref="A306:E309"/>
    <mergeCell ref="F308:AD308"/>
    <mergeCell ref="AA304:AD304"/>
    <mergeCell ref="AA302:AD302"/>
    <mergeCell ref="AA303:AD303"/>
    <mergeCell ref="AA305:AD305"/>
    <mergeCell ref="G300:Z300"/>
    <mergeCell ref="H301:Z301"/>
    <mergeCell ref="F301:G301"/>
    <mergeCell ref="F303:H303"/>
    <mergeCell ref="I303:Z303"/>
    <mergeCell ref="F305:G305"/>
    <mergeCell ref="H305:Z305"/>
    <mergeCell ref="AA301:AD301"/>
    <mergeCell ref="F313:AD313"/>
    <mergeCell ref="A312:E312"/>
    <mergeCell ref="F312:AD312"/>
    <mergeCell ref="I302:Z302"/>
    <mergeCell ref="F304:H304"/>
    <mergeCell ref="AD224:AG224"/>
    <mergeCell ref="AD226:AG226"/>
    <mergeCell ref="G226:AC226"/>
    <mergeCell ref="O222:Q222"/>
    <mergeCell ref="AD211:AG211"/>
    <mergeCell ref="A222:I222"/>
    <mergeCell ref="Q234:R234"/>
    <mergeCell ref="X229:AE229"/>
    <mergeCell ref="X230:AE230"/>
    <mergeCell ref="F256:G256"/>
    <mergeCell ref="G299:Z299"/>
    <mergeCell ref="AD225:AG225"/>
    <mergeCell ref="R209:S209"/>
    <mergeCell ref="F219:AG219"/>
    <mergeCell ref="AD266:AG266"/>
    <mergeCell ref="AC275:AD275"/>
    <mergeCell ref="N276:P276"/>
    <mergeCell ref="F228:G230"/>
    <mergeCell ref="Z235:AB235"/>
    <mergeCell ref="Q236:R236"/>
    <mergeCell ref="AC276:AD276"/>
    <mergeCell ref="F249:K249"/>
    <mergeCell ref="AD268:AG268"/>
    <mergeCell ref="I270:W270"/>
    <mergeCell ref="X270:AE270"/>
    <mergeCell ref="I271:W271"/>
    <mergeCell ref="X271:AE271"/>
    <mergeCell ref="F272:G277"/>
    <mergeCell ref="AF269:AG271"/>
    <mergeCell ref="H272:AE272"/>
    <mergeCell ref="Q276:R276"/>
    <mergeCell ref="AF272:AG277"/>
    <mergeCell ref="AA156:AD156"/>
    <mergeCell ref="A147:I147"/>
    <mergeCell ref="S135:T135"/>
    <mergeCell ref="F157:G157"/>
    <mergeCell ref="A184:E184"/>
    <mergeCell ref="A223:E223"/>
    <mergeCell ref="J208:K208"/>
    <mergeCell ref="L208:M208"/>
    <mergeCell ref="N208:O208"/>
    <mergeCell ref="AB232:AE232"/>
    <mergeCell ref="U256:X256"/>
    <mergeCell ref="F244:AG244"/>
    <mergeCell ref="O248:Q248"/>
    <mergeCell ref="G253:Z253"/>
    <mergeCell ref="AA253:AD253"/>
    <mergeCell ref="A245:AG245"/>
    <mergeCell ref="H218:AC218"/>
    <mergeCell ref="N235:P235"/>
    <mergeCell ref="J209:K209"/>
    <mergeCell ref="L209:M209"/>
    <mergeCell ref="F208:G208"/>
    <mergeCell ref="AF228:AG230"/>
    <mergeCell ref="AF231:AG236"/>
    <mergeCell ref="T236:V236"/>
    <mergeCell ref="K235:L235"/>
    <mergeCell ref="F242:AG242"/>
    <mergeCell ref="G227:AC227"/>
    <mergeCell ref="H236:J236"/>
    <mergeCell ref="K236:L236"/>
    <mergeCell ref="H208:I208"/>
    <mergeCell ref="AC235:AD235"/>
    <mergeCell ref="I229:W229"/>
    <mergeCell ref="A204:E204"/>
    <mergeCell ref="L204:M204"/>
    <mergeCell ref="H205:I205"/>
    <mergeCell ref="H195:I195"/>
    <mergeCell ref="P195:Q195"/>
    <mergeCell ref="F196:G196"/>
    <mergeCell ref="Z196:AA196"/>
    <mergeCell ref="A203:E203"/>
    <mergeCell ref="F201:G201"/>
    <mergeCell ref="L198:M198"/>
    <mergeCell ref="G254:Z254"/>
    <mergeCell ref="H234:J234"/>
    <mergeCell ref="W236:X236"/>
    <mergeCell ref="A148:AD148"/>
    <mergeCell ref="A145:AG145"/>
    <mergeCell ref="G130:Z130"/>
    <mergeCell ref="A142:E143"/>
    <mergeCell ref="H136:Z136"/>
    <mergeCell ref="F220:AG220"/>
    <mergeCell ref="S214:AC214"/>
    <mergeCell ref="J222:N222"/>
    <mergeCell ref="G215:R215"/>
    <mergeCell ref="S215:AC215"/>
    <mergeCell ref="F217:F218"/>
    <mergeCell ref="G217:AC217"/>
    <mergeCell ref="AD217:AG218"/>
    <mergeCell ref="H228:AE228"/>
    <mergeCell ref="A209:E209"/>
    <mergeCell ref="S213:V213"/>
    <mergeCell ref="O150:Q150"/>
    <mergeCell ref="G156:Z156"/>
    <mergeCell ref="AA155:AD155"/>
    <mergeCell ref="A3:AD3"/>
    <mergeCell ref="W4:AD4"/>
    <mergeCell ref="A9:AG9"/>
    <mergeCell ref="A12:C12"/>
    <mergeCell ref="P7:R7"/>
    <mergeCell ref="S7:AD7"/>
    <mergeCell ref="G10:H10"/>
    <mergeCell ref="AI18:AJ18"/>
    <mergeCell ref="D13:Y13"/>
    <mergeCell ref="A16:AF16"/>
    <mergeCell ref="R14:S14"/>
    <mergeCell ref="A13:C13"/>
    <mergeCell ref="A14:C15"/>
    <mergeCell ref="D14:E14"/>
    <mergeCell ref="D15:E15"/>
    <mergeCell ref="M14:N14"/>
    <mergeCell ref="P14:Q14"/>
    <mergeCell ref="B18:E18"/>
    <mergeCell ref="F18:U18"/>
    <mergeCell ref="V18:Y18"/>
    <mergeCell ref="Z18:AF18"/>
    <mergeCell ref="AI17:AJ17"/>
    <mergeCell ref="B17:E17"/>
    <mergeCell ref="V17:Y17"/>
    <mergeCell ref="Z17:AF17"/>
    <mergeCell ref="F14:G14"/>
    <mergeCell ref="H14:I14"/>
    <mergeCell ref="K14:L14"/>
    <mergeCell ref="F17:U17"/>
    <mergeCell ref="P6:R6"/>
    <mergeCell ref="A10:C10"/>
    <mergeCell ref="S6:AD6"/>
    <mergeCell ref="F27:U27"/>
    <mergeCell ref="V23:Y23"/>
    <mergeCell ref="Z23:AF23"/>
    <mergeCell ref="V35:Y35"/>
    <mergeCell ref="Z31:AF31"/>
    <mergeCell ref="V33:Y33"/>
    <mergeCell ref="B35:E35"/>
    <mergeCell ref="B22:E22"/>
    <mergeCell ref="B24:E24"/>
    <mergeCell ref="B25:E25"/>
    <mergeCell ref="B26:E26"/>
    <mergeCell ref="B23:E23"/>
    <mergeCell ref="B29:E29"/>
    <mergeCell ref="B31:E31"/>
    <mergeCell ref="B33:E33"/>
    <mergeCell ref="B30:E30"/>
    <mergeCell ref="Z21:AF21"/>
    <mergeCell ref="V25:Y25"/>
    <mergeCell ref="Z35:AF35"/>
    <mergeCell ref="Z29:AF29"/>
    <mergeCell ref="V30:Y30"/>
    <mergeCell ref="F31:U31"/>
    <mergeCell ref="F33:U33"/>
    <mergeCell ref="F35:U35"/>
    <mergeCell ref="Z24:AF24"/>
    <mergeCell ref="F29:U29"/>
    <mergeCell ref="V24:Y24"/>
    <mergeCell ref="D10:F10"/>
    <mergeCell ref="I10:K10"/>
    <mergeCell ref="L10:N10"/>
    <mergeCell ref="A11:C11"/>
    <mergeCell ref="D11:N11"/>
    <mergeCell ref="D12:N12"/>
    <mergeCell ref="F30:U30"/>
    <mergeCell ref="F21:U21"/>
    <mergeCell ref="K15:L15"/>
    <mergeCell ref="M15:N15"/>
    <mergeCell ref="B20:E20"/>
    <mergeCell ref="B21:E21"/>
    <mergeCell ref="F22:U22"/>
    <mergeCell ref="V22:Y22"/>
    <mergeCell ref="Z22:AF22"/>
    <mergeCell ref="Z25:AF25"/>
    <mergeCell ref="B27:E27"/>
    <mergeCell ref="F23:U23"/>
    <mergeCell ref="V21:Y21"/>
    <mergeCell ref="Z30:AF30"/>
    <mergeCell ref="F24:U24"/>
    <mergeCell ref="F25:U25"/>
    <mergeCell ref="F26:U26"/>
    <mergeCell ref="F15:G15"/>
    <mergeCell ref="H15:I15"/>
    <mergeCell ref="V20:Y20"/>
    <mergeCell ref="Z20:AF20"/>
    <mergeCell ref="V27:Y27"/>
    <mergeCell ref="Z27:AF27"/>
    <mergeCell ref="V19:AF19"/>
    <mergeCell ref="F20:U20"/>
    <mergeCell ref="Z26:AF26"/>
    <mergeCell ref="A49:AF50"/>
    <mergeCell ref="A75:I75"/>
    <mergeCell ref="H57:Z57"/>
    <mergeCell ref="AA57:AD57"/>
    <mergeCell ref="H58:Z58"/>
    <mergeCell ref="AA58:AD58"/>
    <mergeCell ref="H59:Z59"/>
    <mergeCell ref="AA59:AD59"/>
    <mergeCell ref="G64:Z64"/>
    <mergeCell ref="G60:Z60"/>
    <mergeCell ref="F61:G61"/>
    <mergeCell ref="F55:Z55"/>
    <mergeCell ref="F43:U43"/>
    <mergeCell ref="B47:E47"/>
    <mergeCell ref="AA61:AD61"/>
    <mergeCell ref="AA62:AD62"/>
    <mergeCell ref="O70:Q70"/>
    <mergeCell ref="AE55:AG55"/>
    <mergeCell ref="AE56:AG59"/>
    <mergeCell ref="AE60:AG63"/>
    <mergeCell ref="F65:G65"/>
    <mergeCell ref="H65:Z65"/>
    <mergeCell ref="A66:E66"/>
    <mergeCell ref="J70:N70"/>
    <mergeCell ref="B48:E48"/>
    <mergeCell ref="V47:AF48"/>
    <mergeCell ref="F47:U47"/>
    <mergeCell ref="F48:U48"/>
    <mergeCell ref="A67:AG67"/>
    <mergeCell ref="A68:AG68"/>
    <mergeCell ref="Z40:AF40"/>
    <mergeCell ref="B40:E40"/>
    <mergeCell ref="F40:U40"/>
    <mergeCell ref="V31:Y31"/>
    <mergeCell ref="Z38:AF38"/>
    <mergeCell ref="V41:Y41"/>
    <mergeCell ref="Z41:AF41"/>
    <mergeCell ref="B37:E37"/>
    <mergeCell ref="Z33:AF33"/>
    <mergeCell ref="F37:U37"/>
    <mergeCell ref="F38:U38"/>
    <mergeCell ref="V38:Y38"/>
    <mergeCell ref="B41:E41"/>
    <mergeCell ref="F41:U41"/>
    <mergeCell ref="F36:U36"/>
    <mergeCell ref="V43:AF46"/>
    <mergeCell ref="F44:U44"/>
    <mergeCell ref="Z36:AF36"/>
    <mergeCell ref="B44:E44"/>
    <mergeCell ref="B45:E45"/>
    <mergeCell ref="B46:E46"/>
    <mergeCell ref="F45:U45"/>
    <mergeCell ref="V37:Y37"/>
    <mergeCell ref="Z37:AF37"/>
    <mergeCell ref="B38:E38"/>
    <mergeCell ref="F46:U46"/>
    <mergeCell ref="B43:E43"/>
    <mergeCell ref="V40:Y40"/>
    <mergeCell ref="B36:E36"/>
    <mergeCell ref="AL1:AM1"/>
    <mergeCell ref="X1:AG1"/>
    <mergeCell ref="A71:E71"/>
    <mergeCell ref="F71:K71"/>
    <mergeCell ref="A54:I54"/>
    <mergeCell ref="O54:Q54"/>
    <mergeCell ref="A55:E65"/>
    <mergeCell ref="V91:W91"/>
    <mergeCell ref="A84:E89"/>
    <mergeCell ref="F84:Z84"/>
    <mergeCell ref="AA84:AD84"/>
    <mergeCell ref="AA65:AD65"/>
    <mergeCell ref="A53:AG53"/>
    <mergeCell ref="V92:W92"/>
    <mergeCell ref="F79:AD79"/>
    <mergeCell ref="F76:K76"/>
    <mergeCell ref="F66:AG66"/>
    <mergeCell ref="F58:G58"/>
    <mergeCell ref="F59:G59"/>
    <mergeCell ref="AB91:AC91"/>
    <mergeCell ref="AB92:AC92"/>
    <mergeCell ref="H87:Z87"/>
    <mergeCell ref="AA89:AD89"/>
    <mergeCell ref="A83:E83"/>
    <mergeCell ref="F83:K83"/>
    <mergeCell ref="A79:E79"/>
    <mergeCell ref="F87:G88"/>
    <mergeCell ref="AA86:AD86"/>
    <mergeCell ref="X91:Y91"/>
    <mergeCell ref="Z91:AA91"/>
    <mergeCell ref="AD92:AG92"/>
    <mergeCell ref="AD91:AG91"/>
    <mergeCell ref="P15:Q15"/>
    <mergeCell ref="R15:S15"/>
    <mergeCell ref="A104:I104"/>
    <mergeCell ref="K111:Z111"/>
    <mergeCell ref="K112:Z112"/>
    <mergeCell ref="H158:Z158"/>
    <mergeCell ref="V36:Y36"/>
    <mergeCell ref="V29:Y29"/>
    <mergeCell ref="V26:Y26"/>
    <mergeCell ref="AA60:AD60"/>
    <mergeCell ref="J91:K91"/>
    <mergeCell ref="AA55:AD55"/>
    <mergeCell ref="F121:Z121"/>
    <mergeCell ref="AA107:AD107"/>
    <mergeCell ref="F90:AC90"/>
    <mergeCell ref="A90:E91"/>
    <mergeCell ref="A98:AG98"/>
    <mergeCell ref="F93:G93"/>
    <mergeCell ref="F105:K105"/>
    <mergeCell ref="F142:AD142"/>
    <mergeCell ref="F95:AG95"/>
    <mergeCell ref="F136:G137"/>
    <mergeCell ref="H93:I93"/>
    <mergeCell ref="J93:K93"/>
    <mergeCell ref="L93:M93"/>
    <mergeCell ref="A77:E78"/>
    <mergeCell ref="F77:Z77"/>
    <mergeCell ref="O75:Q75"/>
    <mergeCell ref="A51:AG51"/>
    <mergeCell ref="A52:AG52"/>
    <mergeCell ref="AA85:AD85"/>
    <mergeCell ref="G89:Z89"/>
    <mergeCell ref="A70:I70"/>
    <mergeCell ref="G56:Z56"/>
    <mergeCell ref="AA56:AD56"/>
    <mergeCell ref="F57:G57"/>
    <mergeCell ref="J54:N54"/>
    <mergeCell ref="F92:G92"/>
    <mergeCell ref="H92:I92"/>
    <mergeCell ref="J92:K92"/>
    <mergeCell ref="H91:I91"/>
    <mergeCell ref="AD90:AG90"/>
    <mergeCell ref="F86:G86"/>
    <mergeCell ref="N91:O91"/>
    <mergeCell ref="P91:Q91"/>
    <mergeCell ref="H61:Z61"/>
    <mergeCell ref="F62:G62"/>
    <mergeCell ref="H62:Z62"/>
    <mergeCell ref="AA78:AD78"/>
    <mergeCell ref="J75:N75"/>
    <mergeCell ref="A76:E76"/>
    <mergeCell ref="AA64:AD64"/>
    <mergeCell ref="F63:H63"/>
    <mergeCell ref="I63:Z63"/>
    <mergeCell ref="A81:I81"/>
    <mergeCell ref="AA63:AD63"/>
    <mergeCell ref="A72:AG72"/>
    <mergeCell ref="T92:U92"/>
    <mergeCell ref="AB93:AC93"/>
    <mergeCell ref="AA123:AD123"/>
    <mergeCell ref="G109:Z109"/>
    <mergeCell ref="A144:AG144"/>
    <mergeCell ref="K134:N134"/>
    <mergeCell ref="A127:I127"/>
    <mergeCell ref="A129:E140"/>
    <mergeCell ref="J127:N127"/>
    <mergeCell ref="J147:N147"/>
    <mergeCell ref="AA131:AD131"/>
    <mergeCell ref="AA138:AD140"/>
    <mergeCell ref="V135:X135"/>
    <mergeCell ref="F138:G140"/>
    <mergeCell ref="P134:T134"/>
    <mergeCell ref="F125:AD125"/>
    <mergeCell ref="A193:AG193"/>
    <mergeCell ref="A125:E125"/>
    <mergeCell ref="G123:Z123"/>
    <mergeCell ref="A119:I119"/>
    <mergeCell ref="O119:Q119"/>
    <mergeCell ref="F106:Z106"/>
    <mergeCell ref="AA110:AD110"/>
    <mergeCell ref="G134:J135"/>
    <mergeCell ref="G133:Z133"/>
    <mergeCell ref="A105:E105"/>
    <mergeCell ref="G124:Z124"/>
    <mergeCell ref="A120:E120"/>
    <mergeCell ref="F120:K120"/>
    <mergeCell ref="AA109:AD109"/>
    <mergeCell ref="AA122:AD122"/>
    <mergeCell ref="A115:E117"/>
    <mergeCell ref="J119:N119"/>
    <mergeCell ref="A94:E94"/>
    <mergeCell ref="O104:Q104"/>
    <mergeCell ref="G107:Z107"/>
    <mergeCell ref="G108:Z108"/>
    <mergeCell ref="K113:Z113"/>
    <mergeCell ref="G131:Z131"/>
    <mergeCell ref="AA106:AD106"/>
    <mergeCell ref="V93:W93"/>
    <mergeCell ref="X93:Y93"/>
    <mergeCell ref="F110:I113"/>
    <mergeCell ref="F115:AD115"/>
    <mergeCell ref="N93:O93"/>
    <mergeCell ref="F94:AC94"/>
    <mergeCell ref="A248:I248"/>
    <mergeCell ref="A188:I188"/>
    <mergeCell ref="H240:AE240"/>
    <mergeCell ref="F231:G236"/>
    <mergeCell ref="H235:J235"/>
    <mergeCell ref="AD227:AG227"/>
    <mergeCell ref="F206:G206"/>
    <mergeCell ref="R204:S204"/>
    <mergeCell ref="F117:AD117"/>
    <mergeCell ref="R207:S207"/>
    <mergeCell ref="N209:O209"/>
    <mergeCell ref="P209:Q209"/>
    <mergeCell ref="T207:U207"/>
    <mergeCell ref="V209:W209"/>
    <mergeCell ref="X209:Y209"/>
    <mergeCell ref="Z209:AA209"/>
    <mergeCell ref="N195:O195"/>
    <mergeCell ref="N200:O200"/>
    <mergeCell ref="O127:Q127"/>
    <mergeCell ref="A106:E114"/>
    <mergeCell ref="AA111:AD111"/>
    <mergeCell ref="AD94:AG94"/>
    <mergeCell ref="AA113:AD113"/>
    <mergeCell ref="AA129:AD129"/>
    <mergeCell ref="AA130:AD130"/>
    <mergeCell ref="A121:E124"/>
    <mergeCell ref="A128:E128"/>
    <mergeCell ref="F96:AG96"/>
    <mergeCell ref="AA77:AD77"/>
    <mergeCell ref="F78:Z78"/>
    <mergeCell ref="A92:E92"/>
    <mergeCell ref="A97:AG97"/>
    <mergeCell ref="A99:AG99"/>
    <mergeCell ref="A100:AG100"/>
    <mergeCell ref="Z93:AA93"/>
    <mergeCell ref="G85:Z85"/>
    <mergeCell ref="X92:Y92"/>
    <mergeCell ref="Z92:AA92"/>
    <mergeCell ref="A93:E93"/>
    <mergeCell ref="T93:U93"/>
    <mergeCell ref="L92:M92"/>
    <mergeCell ref="AD93:AG93"/>
    <mergeCell ref="J81:N81"/>
    <mergeCell ref="O81:Q81"/>
    <mergeCell ref="G122:Z122"/>
    <mergeCell ref="F91:G91"/>
    <mergeCell ref="AA112:AD112"/>
    <mergeCell ref="AA108:AD108"/>
    <mergeCell ref="A95:E96"/>
    <mergeCell ref="J104:N104"/>
    <mergeCell ref="J150:N150"/>
    <mergeCell ref="A154:AD154"/>
    <mergeCell ref="O153:Q153"/>
    <mergeCell ref="A153:I153"/>
    <mergeCell ref="V134:Z134"/>
    <mergeCell ref="A151:AG151"/>
    <mergeCell ref="F133:F135"/>
    <mergeCell ref="AA114:AD114"/>
    <mergeCell ref="G114:Z114"/>
    <mergeCell ref="F116:AD116"/>
    <mergeCell ref="J110:Z110"/>
    <mergeCell ref="F143:AD143"/>
    <mergeCell ref="R137:V137"/>
    <mergeCell ref="H137:L137"/>
    <mergeCell ref="M137:P137"/>
    <mergeCell ref="F141:K141"/>
    <mergeCell ref="L141:AD141"/>
    <mergeCell ref="A141:E141"/>
    <mergeCell ref="AA121:AD121"/>
    <mergeCell ref="A150:I150"/>
    <mergeCell ref="P135:R135"/>
    <mergeCell ref="F129:Z129"/>
    <mergeCell ref="AA133:AD135"/>
    <mergeCell ref="K135:M135"/>
    <mergeCell ref="G132:Z132"/>
    <mergeCell ref="H138:Z138"/>
    <mergeCell ref="W137:Z137"/>
    <mergeCell ref="AA136:AD137"/>
    <mergeCell ref="Y135:Z135"/>
    <mergeCell ref="F128:K128"/>
    <mergeCell ref="AA124:AD124"/>
    <mergeCell ref="O147:Q147"/>
    <mergeCell ref="AA183:AD183"/>
    <mergeCell ref="A181:E183"/>
    <mergeCell ref="J188:N188"/>
    <mergeCell ref="F158:G158"/>
    <mergeCell ref="A177:AD177"/>
    <mergeCell ref="F169:AD169"/>
    <mergeCell ref="L160:Q160"/>
    <mergeCell ref="AA181:AD181"/>
    <mergeCell ref="R160:U160"/>
    <mergeCell ref="O188:Q188"/>
    <mergeCell ref="G161:Z161"/>
    <mergeCell ref="A168:E172"/>
    <mergeCell ref="F163:G163"/>
    <mergeCell ref="F164:G164"/>
    <mergeCell ref="G162:Z162"/>
    <mergeCell ref="F165:G165"/>
    <mergeCell ref="H165:Z165"/>
    <mergeCell ref="H164:Z164"/>
    <mergeCell ref="AA166:AD166"/>
    <mergeCell ref="H159:Z159"/>
    <mergeCell ref="F159:G160"/>
    <mergeCell ref="A185:E185"/>
    <mergeCell ref="AA159:AD160"/>
    <mergeCell ref="G166:Z166"/>
    <mergeCell ref="AA161:AD161"/>
    <mergeCell ref="AA182:AD182"/>
    <mergeCell ref="A186:AD186"/>
    <mergeCell ref="F182:Z182"/>
    <mergeCell ref="F168:AD168"/>
    <mergeCell ref="F170:AD170"/>
    <mergeCell ref="F181:Z181"/>
    <mergeCell ref="A155:E167"/>
    <mergeCell ref="H160:K160"/>
    <mergeCell ref="F155:Z155"/>
    <mergeCell ref="AD195:AE195"/>
    <mergeCell ref="J179:N179"/>
    <mergeCell ref="H157:Z157"/>
    <mergeCell ref="F184:AD184"/>
    <mergeCell ref="A190:E192"/>
    <mergeCell ref="AD190:AG190"/>
    <mergeCell ref="G191:AC191"/>
    <mergeCell ref="AD191:AG191"/>
    <mergeCell ref="G192:AC192"/>
    <mergeCell ref="A195:E195"/>
    <mergeCell ref="F195:G195"/>
    <mergeCell ref="AB195:AC195"/>
    <mergeCell ref="Z195:AA195"/>
    <mergeCell ref="AA162:AD162"/>
    <mergeCell ref="AA163:AD163"/>
    <mergeCell ref="AA164:AD164"/>
    <mergeCell ref="AA165:AD165"/>
    <mergeCell ref="F171:AD171"/>
    <mergeCell ref="F172:AD172"/>
    <mergeCell ref="O179:Q179"/>
    <mergeCell ref="H163:Z163"/>
    <mergeCell ref="AA158:AD158"/>
    <mergeCell ref="V160:W160"/>
    <mergeCell ref="AD192:AG192"/>
    <mergeCell ref="G167:Z167"/>
    <mergeCell ref="AA167:AD167"/>
    <mergeCell ref="F183:Z183"/>
    <mergeCell ref="AY200:AZ200"/>
    <mergeCell ref="R201:S201"/>
    <mergeCell ref="P200:Q200"/>
    <mergeCell ref="R200:S200"/>
    <mergeCell ref="T201:U201"/>
    <mergeCell ref="P201:Q201"/>
    <mergeCell ref="AN199:AO199"/>
    <mergeCell ref="A194:E194"/>
    <mergeCell ref="R197:S197"/>
    <mergeCell ref="F199:G199"/>
    <mergeCell ref="F200:G200"/>
    <mergeCell ref="H200:I200"/>
    <mergeCell ref="A201:E201"/>
    <mergeCell ref="AL199:AM199"/>
    <mergeCell ref="L194:M194"/>
    <mergeCell ref="N194:O194"/>
    <mergeCell ref="J197:K197"/>
    <mergeCell ref="L197:M197"/>
    <mergeCell ref="F197:G197"/>
    <mergeCell ref="R198:S198"/>
    <mergeCell ref="P197:Q197"/>
    <mergeCell ref="A197:E197"/>
    <mergeCell ref="T198:U198"/>
    <mergeCell ref="A198:E198"/>
    <mergeCell ref="V198:W198"/>
    <mergeCell ref="X198:Y198"/>
    <mergeCell ref="R196:S196"/>
    <mergeCell ref="J196:K196"/>
    <mergeCell ref="H196:I196"/>
    <mergeCell ref="R195:S195"/>
    <mergeCell ref="H199:I199"/>
    <mergeCell ref="A202:E202"/>
    <mergeCell ref="F202:G202"/>
    <mergeCell ref="N198:O198"/>
    <mergeCell ref="AF195:AG195"/>
    <mergeCell ref="L196:M196"/>
    <mergeCell ref="AI196:AI197"/>
    <mergeCell ref="F198:G198"/>
    <mergeCell ref="H198:I198"/>
    <mergeCell ref="A199:E199"/>
    <mergeCell ref="P198:Q198"/>
    <mergeCell ref="L202:M202"/>
    <mergeCell ref="N196:O196"/>
    <mergeCell ref="J198:K198"/>
    <mergeCell ref="A196:E196"/>
    <mergeCell ref="X196:Y196"/>
    <mergeCell ref="L200:M200"/>
    <mergeCell ref="A200:E200"/>
    <mergeCell ref="X195:Y195"/>
    <mergeCell ref="V196:W196"/>
    <mergeCell ref="P196:Q196"/>
    <mergeCell ref="T196:U196"/>
    <mergeCell ref="Z198:AA198"/>
    <mergeCell ref="H197:I197"/>
    <mergeCell ref="V197:W197"/>
    <mergeCell ref="X197:Y197"/>
    <mergeCell ref="H202:I202"/>
    <mergeCell ref="L195:M195"/>
    <mergeCell ref="BI203:BJ203"/>
    <mergeCell ref="T200:U200"/>
    <mergeCell ref="AF201:AG201"/>
    <mergeCell ref="R202:S202"/>
    <mergeCell ref="J201:K201"/>
    <mergeCell ref="L201:M201"/>
    <mergeCell ref="AP202:AQ202"/>
    <mergeCell ref="AR202:AS202"/>
    <mergeCell ref="V202:W202"/>
    <mergeCell ref="X202:Y202"/>
    <mergeCell ref="J205:K205"/>
    <mergeCell ref="L205:M205"/>
    <mergeCell ref="P204:Q204"/>
    <mergeCell ref="AN202:AO202"/>
    <mergeCell ref="T203:U203"/>
    <mergeCell ref="T204:U204"/>
    <mergeCell ref="V204:W204"/>
    <mergeCell ref="X204:Y204"/>
    <mergeCell ref="Z204:AA204"/>
    <mergeCell ref="AB204:AC204"/>
    <mergeCell ref="X203:Y203"/>
    <mergeCell ref="Z203:AA203"/>
    <mergeCell ref="AI202:AI203"/>
    <mergeCell ref="AW202:AX202"/>
    <mergeCell ref="AB201:AC201"/>
    <mergeCell ref="J200:K200"/>
    <mergeCell ref="J202:K202"/>
    <mergeCell ref="BI200:BJ200"/>
    <mergeCell ref="AR200:AS200"/>
    <mergeCell ref="AD202:AE202"/>
    <mergeCell ref="N202:O202"/>
    <mergeCell ref="BG200:BH200"/>
    <mergeCell ref="BC203:BD203"/>
    <mergeCell ref="AW203:AX203"/>
    <mergeCell ref="AY203:AZ203"/>
    <mergeCell ref="X201:Y201"/>
    <mergeCell ref="Z201:AA201"/>
    <mergeCell ref="AF202:AG203"/>
    <mergeCell ref="AI199:AI200"/>
    <mergeCell ref="V199:W199"/>
    <mergeCell ref="X199:Y199"/>
    <mergeCell ref="BE202:BF202"/>
    <mergeCell ref="AB196:AC196"/>
    <mergeCell ref="AD196:AE196"/>
    <mergeCell ref="AR196:AS196"/>
    <mergeCell ref="AU196:AV196"/>
    <mergeCell ref="AU200:AV200"/>
    <mergeCell ref="AW199:AX199"/>
    <mergeCell ref="AL200:AM200"/>
    <mergeCell ref="AL203:AM203"/>
    <mergeCell ref="AN203:AO203"/>
    <mergeCell ref="AP203:AQ203"/>
    <mergeCell ref="AB199:AC199"/>
    <mergeCell ref="AF196:AG197"/>
    <mergeCell ref="Z199:AA199"/>
    <mergeCell ref="AB197:AC197"/>
    <mergeCell ref="AF199:AG200"/>
    <mergeCell ref="AR203:AS203"/>
    <mergeCell ref="AB202:AC202"/>
    <mergeCell ref="V200:W200"/>
    <mergeCell ref="X200:Y200"/>
    <mergeCell ref="V203:W203"/>
    <mergeCell ref="AB203:AC203"/>
    <mergeCell ref="AW200:AX200"/>
    <mergeCell ref="N203:O203"/>
    <mergeCell ref="P203:Q203"/>
    <mergeCell ref="T202:U202"/>
    <mergeCell ref="N206:O206"/>
    <mergeCell ref="N205:O205"/>
    <mergeCell ref="P205:Q205"/>
    <mergeCell ref="P206:Q206"/>
    <mergeCell ref="Z206:AA206"/>
    <mergeCell ref="AB206:AC206"/>
    <mergeCell ref="R206:S206"/>
    <mergeCell ref="T206:U206"/>
    <mergeCell ref="T197:U197"/>
    <mergeCell ref="R205:S205"/>
    <mergeCell ref="V205:W205"/>
    <mergeCell ref="AD199:AE199"/>
    <mergeCell ref="Z202:AA202"/>
    <mergeCell ref="AD203:AE203"/>
    <mergeCell ref="Z205:AA205"/>
    <mergeCell ref="AD200:AE200"/>
    <mergeCell ref="N197:O197"/>
    <mergeCell ref="AI255:AI256"/>
    <mergeCell ref="G268:AC268"/>
    <mergeCell ref="H204:I204"/>
    <mergeCell ref="J204:K204"/>
    <mergeCell ref="AI208:AI209"/>
    <mergeCell ref="Z208:AA208"/>
    <mergeCell ref="AN208:AO208"/>
    <mergeCell ref="AP195:AQ195"/>
    <mergeCell ref="AR195:AS195"/>
    <mergeCell ref="AU195:AV195"/>
    <mergeCell ref="AY206:AZ206"/>
    <mergeCell ref="N204:O204"/>
    <mergeCell ref="AB205:AC205"/>
    <mergeCell ref="X205:Y205"/>
    <mergeCell ref="T205:U205"/>
    <mergeCell ref="F185:AD185"/>
    <mergeCell ref="H201:I201"/>
    <mergeCell ref="AN196:AO196"/>
    <mergeCell ref="AP196:AQ196"/>
    <mergeCell ref="AL196:AM196"/>
    <mergeCell ref="AD198:AE198"/>
    <mergeCell ref="N201:O201"/>
    <mergeCell ref="V201:W201"/>
    <mergeCell ref="L206:M206"/>
    <mergeCell ref="J203:K203"/>
    <mergeCell ref="L203:M203"/>
    <mergeCell ref="J206:K206"/>
    <mergeCell ref="V206:W206"/>
    <mergeCell ref="R203:S203"/>
    <mergeCell ref="AP200:AQ200"/>
    <mergeCell ref="J199:K199"/>
    <mergeCell ref="L199:M199"/>
    <mergeCell ref="P207:Q207"/>
    <mergeCell ref="AD209:AE209"/>
    <mergeCell ref="H256:T256"/>
    <mergeCell ref="AA254:AD256"/>
    <mergeCell ref="F250:Z250"/>
    <mergeCell ref="AA250:AD250"/>
    <mergeCell ref="G251:Z251"/>
    <mergeCell ref="AA251:AD251"/>
    <mergeCell ref="F243:AG243"/>
    <mergeCell ref="J248:N248"/>
    <mergeCell ref="R199:S199"/>
    <mergeCell ref="T199:U199"/>
    <mergeCell ref="H206:I206"/>
    <mergeCell ref="AD201:AE201"/>
    <mergeCell ref="P202:Q202"/>
    <mergeCell ref="F203:G203"/>
    <mergeCell ref="H203:I203"/>
    <mergeCell ref="AC236:AD236"/>
    <mergeCell ref="G225:AC225"/>
    <mergeCell ref="AD212:AG216"/>
    <mergeCell ref="N207:O207"/>
    <mergeCell ref="X213:Y213"/>
    <mergeCell ref="AA213:AB213"/>
    <mergeCell ref="Z200:AA200"/>
    <mergeCell ref="AB200:AC200"/>
    <mergeCell ref="N199:O199"/>
    <mergeCell ref="P199:Q199"/>
    <mergeCell ref="AD204:AE204"/>
    <mergeCell ref="F238:G239"/>
    <mergeCell ref="P208:Q208"/>
    <mergeCell ref="G212:AC212"/>
    <mergeCell ref="AF204:AG204"/>
    <mergeCell ref="BE206:BF206"/>
    <mergeCell ref="Z207:AA207"/>
    <mergeCell ref="AR209:AS209"/>
    <mergeCell ref="AU209:AV209"/>
    <mergeCell ref="AW209:AX209"/>
    <mergeCell ref="AB207:AC207"/>
    <mergeCell ref="AY209:AZ209"/>
    <mergeCell ref="AP208:AQ208"/>
    <mergeCell ref="AD207:AE207"/>
    <mergeCell ref="AB208:AC208"/>
    <mergeCell ref="V207:W207"/>
    <mergeCell ref="AN209:AO209"/>
    <mergeCell ref="AB209:AC209"/>
    <mergeCell ref="AF207:AG207"/>
    <mergeCell ref="R208:S208"/>
    <mergeCell ref="T208:U208"/>
    <mergeCell ref="V208:W208"/>
    <mergeCell ref="X208:Y208"/>
    <mergeCell ref="BC209:BD209"/>
    <mergeCell ref="BE209:BF209"/>
    <mergeCell ref="AP206:AQ206"/>
    <mergeCell ref="AU208:AV208"/>
    <mergeCell ref="AR206:AS206"/>
    <mergeCell ref="AU206:AV206"/>
    <mergeCell ref="BC208:BD208"/>
    <mergeCell ref="BE208:BF208"/>
    <mergeCell ref="AD206:AE206"/>
    <mergeCell ref="AI205:AI206"/>
    <mergeCell ref="X206:Y206"/>
    <mergeCell ref="AF205:AG206"/>
    <mergeCell ref="BK197:BL197"/>
    <mergeCell ref="AN197:AO197"/>
    <mergeCell ref="AP197:AQ197"/>
    <mergeCell ref="AR197:AS197"/>
    <mergeCell ref="AP199:AQ199"/>
    <mergeCell ref="AD208:AE208"/>
    <mergeCell ref="AW195:AX195"/>
    <mergeCell ref="BG195:BH195"/>
    <mergeCell ref="BC197:BD197"/>
    <mergeCell ref="BE197:BF197"/>
    <mergeCell ref="BG197:BH197"/>
    <mergeCell ref="AY196:AZ196"/>
    <mergeCell ref="BA196:BB196"/>
    <mergeCell ref="BA208:BB208"/>
    <mergeCell ref="BC206:BD206"/>
    <mergeCell ref="AW208:AX208"/>
    <mergeCell ref="AY208:AZ208"/>
    <mergeCell ref="BA203:BB203"/>
    <mergeCell ref="AL208:AM208"/>
    <mergeCell ref="AL197:AM197"/>
    <mergeCell ref="BC205:BD205"/>
    <mergeCell ref="BE205:BF205"/>
    <mergeCell ref="BG205:BH205"/>
    <mergeCell ref="BK202:BL202"/>
    <mergeCell ref="AR199:AS199"/>
    <mergeCell ref="BI195:BJ195"/>
    <mergeCell ref="BE196:BF196"/>
    <mergeCell ref="BG196:BH196"/>
    <mergeCell ref="AW206:AX206"/>
    <mergeCell ref="AL205:AM205"/>
    <mergeCell ref="BI196:BJ196"/>
    <mergeCell ref="AR208:AS208"/>
    <mergeCell ref="BI197:BJ197"/>
    <mergeCell ref="AU202:AV202"/>
    <mergeCell ref="BG203:BH203"/>
    <mergeCell ref="BG209:BH209"/>
    <mergeCell ref="AW205:AX205"/>
    <mergeCell ref="AR205:AS205"/>
    <mergeCell ref="AU205:AV205"/>
    <mergeCell ref="BI209:BJ209"/>
    <mergeCell ref="BK209:BL209"/>
    <mergeCell ref="BK199:BL199"/>
    <mergeCell ref="AU199:AV199"/>
    <mergeCell ref="AY202:AZ202"/>
    <mergeCell ref="AL202:AM202"/>
    <mergeCell ref="AU197:AV197"/>
    <mergeCell ref="BA202:BB202"/>
    <mergeCell ref="BI202:BJ202"/>
    <mergeCell ref="AL206:AM206"/>
    <mergeCell ref="AN206:AO206"/>
    <mergeCell ref="BK206:BL206"/>
    <mergeCell ref="BI208:BJ208"/>
    <mergeCell ref="BK208:BL208"/>
    <mergeCell ref="BI205:BJ205"/>
    <mergeCell ref="BK205:BL205"/>
    <mergeCell ref="AL209:AM209"/>
    <mergeCell ref="AU203:AV203"/>
    <mergeCell ref="AN200:AO200"/>
    <mergeCell ref="BA209:BB209"/>
    <mergeCell ref="BG206:BH206"/>
    <mergeCell ref="AP209:AQ209"/>
    <mergeCell ref="AN205:AO205"/>
    <mergeCell ref="AP205:AQ205"/>
    <mergeCell ref="BE200:BF200"/>
    <mergeCell ref="BG208:BH208"/>
    <mergeCell ref="BK196:BL196"/>
    <mergeCell ref="BA200:BB200"/>
    <mergeCell ref="BC200:BD200"/>
    <mergeCell ref="BE203:BF203"/>
    <mergeCell ref="BC199:BD199"/>
    <mergeCell ref="BG202:BH202"/>
    <mergeCell ref="AB198:AC198"/>
    <mergeCell ref="H86:Z86"/>
    <mergeCell ref="H88:M88"/>
    <mergeCell ref="P93:Q93"/>
    <mergeCell ref="R93:S93"/>
    <mergeCell ref="N92:O92"/>
    <mergeCell ref="P92:Q92"/>
    <mergeCell ref="N88:Z88"/>
    <mergeCell ref="AA87:AD88"/>
    <mergeCell ref="L91:M91"/>
    <mergeCell ref="A179:I179"/>
    <mergeCell ref="F190:AC190"/>
    <mergeCell ref="BK203:BL203"/>
    <mergeCell ref="BE199:BF199"/>
    <mergeCell ref="BK200:BL200"/>
    <mergeCell ref="BA199:BB199"/>
    <mergeCell ref="AY199:AZ199"/>
    <mergeCell ref="BA206:BB206"/>
    <mergeCell ref="AY205:AZ205"/>
    <mergeCell ref="BI199:BJ199"/>
    <mergeCell ref="BG199:BH199"/>
    <mergeCell ref="BC202:BD202"/>
    <mergeCell ref="BI206:BJ206"/>
    <mergeCell ref="BA195:BB195"/>
    <mergeCell ref="BA205:BB205"/>
    <mergeCell ref="BE195:BF195"/>
    <mergeCell ref="BC196:BD196"/>
    <mergeCell ref="A102:AG102"/>
    <mergeCell ref="R91:S91"/>
    <mergeCell ref="T91:U91"/>
    <mergeCell ref="R92:S92"/>
    <mergeCell ref="A101:AG101"/>
    <mergeCell ref="AL195:AM195"/>
    <mergeCell ref="AE64:AG65"/>
    <mergeCell ref="AJ56:AJ59"/>
    <mergeCell ref="AJ60:AJ63"/>
    <mergeCell ref="AJ64:AJ65"/>
    <mergeCell ref="AF198:AG198"/>
    <mergeCell ref="Z197:AA197"/>
    <mergeCell ref="B174:AD176"/>
    <mergeCell ref="A189:AG189"/>
    <mergeCell ref="AY195:AZ195"/>
    <mergeCell ref="BC195:BD195"/>
    <mergeCell ref="AW197:AX197"/>
    <mergeCell ref="AY197:AZ197"/>
    <mergeCell ref="BA197:BB197"/>
    <mergeCell ref="J195:K195"/>
    <mergeCell ref="T195:U195"/>
    <mergeCell ref="V195:W195"/>
    <mergeCell ref="M139:Z140"/>
    <mergeCell ref="H139:L140"/>
    <mergeCell ref="F194:I194"/>
    <mergeCell ref="J194:K194"/>
    <mergeCell ref="AW196:AX196"/>
    <mergeCell ref="AD197:AE197"/>
    <mergeCell ref="AN195:AO195"/>
    <mergeCell ref="AA157:AD157"/>
  </mergeCells>
  <phoneticPr fontId="1"/>
  <conditionalFormatting sqref="B20:E22">
    <cfRule type="containsText" dxfId="115" priority="77" operator="containsText" text="エラー">
      <formula>NOT(ISERROR(SEARCH("エラー",B20)))</formula>
    </cfRule>
  </conditionalFormatting>
  <conditionalFormatting sqref="AA158:AD158">
    <cfRule type="expression" dxfId="114" priority="73">
      <formula>$AI$157</formula>
    </cfRule>
  </conditionalFormatting>
  <conditionalFormatting sqref="AA159:AD160">
    <cfRule type="expression" dxfId="113" priority="72">
      <formula>OR($AI$157,$AI$158)</formula>
    </cfRule>
  </conditionalFormatting>
  <conditionalFormatting sqref="AA65:AD65">
    <cfRule type="expression" dxfId="112" priority="67">
      <formula>$AI$70</formula>
    </cfRule>
  </conditionalFormatting>
  <conditionalFormatting sqref="AA57:AD57">
    <cfRule type="expression" dxfId="111" priority="254">
      <formula>OR($AI$58,$AI$59)</formula>
    </cfRule>
  </conditionalFormatting>
  <conditionalFormatting sqref="AA59:AD59">
    <cfRule type="expression" dxfId="110" priority="256">
      <formula>OR($AI$57,$AI$58)</formula>
    </cfRule>
  </conditionalFormatting>
  <conditionalFormatting sqref="AA61:AD61">
    <cfRule type="expression" dxfId="109" priority="65">
      <formula>$AI$62</formula>
    </cfRule>
  </conditionalFormatting>
  <conditionalFormatting sqref="AA62:AD62">
    <cfRule type="expression" dxfId="108" priority="64">
      <formula>$AI$61</formula>
    </cfRule>
  </conditionalFormatting>
  <conditionalFormatting sqref="AA111:AD113">
    <cfRule type="expression" dxfId="107" priority="63">
      <formula>$AI$109</formula>
    </cfRule>
  </conditionalFormatting>
  <conditionalFormatting sqref="Z31">
    <cfRule type="containsText" dxfId="106" priority="43" operator="containsText" text="変更有">
      <formula>NOT(ISERROR(SEARCH("変更有",Z31)))</formula>
    </cfRule>
  </conditionalFormatting>
  <conditionalFormatting sqref="AA87:AD88">
    <cfRule type="expression" dxfId="105" priority="42">
      <formula>$AI$86</formula>
    </cfRule>
  </conditionalFormatting>
  <conditionalFormatting sqref="AA86:AD86">
    <cfRule type="expression" dxfId="104" priority="41">
      <formula>$AI$87</formula>
    </cfRule>
  </conditionalFormatting>
  <conditionalFormatting sqref="F196:M197">
    <cfRule type="expression" dxfId="103" priority="307">
      <formula>AL$196="△"</formula>
    </cfRule>
  </conditionalFormatting>
  <conditionalFormatting sqref="AA58:AD58">
    <cfRule type="expression" dxfId="102" priority="317">
      <formula>OR($AI$57,$AI$59)</formula>
    </cfRule>
  </conditionalFormatting>
  <conditionalFormatting sqref="N88:Z88">
    <cfRule type="expression" dxfId="101" priority="39">
      <formula>$AI$86=1</formula>
    </cfRule>
  </conditionalFormatting>
  <conditionalFormatting sqref="B18:E18">
    <cfRule type="containsText" dxfId="100" priority="4" operator="containsText" text="エラー">
      <formula>NOT(ISERROR(SEARCH("エラー",B18)))</formula>
    </cfRule>
    <cfRule type="containsText" dxfId="99" priority="38" operator="containsText" text="×">
      <formula>NOT(ISERROR(SEARCH("×",B18)))</formula>
    </cfRule>
  </conditionalFormatting>
  <conditionalFormatting sqref="B24:E26">
    <cfRule type="containsText" dxfId="98" priority="37" operator="containsText" text="エラー">
      <formula>NOT(ISERROR(SEARCH("エラー",B24)))</formula>
    </cfRule>
  </conditionalFormatting>
  <conditionalFormatting sqref="B29:E29">
    <cfRule type="containsText" dxfId="97" priority="36" operator="containsText" text="エラー">
      <formula>NOT(ISERROR(SEARCH("エラー",B29)))</formula>
    </cfRule>
  </conditionalFormatting>
  <conditionalFormatting sqref="B33:E33 B30:E31">
    <cfRule type="containsText" dxfId="96" priority="35" operator="containsText" text="エラー">
      <formula>NOT(ISERROR(SEARCH("エラー",B30)))</formula>
    </cfRule>
  </conditionalFormatting>
  <conditionalFormatting sqref="B33:E33">
    <cfRule type="containsText" dxfId="95" priority="34" operator="containsText" text="未入力">
      <formula>NOT(ISERROR(SEARCH("未入力",B33)))</formula>
    </cfRule>
  </conditionalFormatting>
  <conditionalFormatting sqref="B35:E40">
    <cfRule type="containsText" dxfId="94" priority="33" operator="containsText" text="エラー">
      <formula>NOT(ISERROR(SEARCH("エラー",B35)))</formula>
    </cfRule>
  </conditionalFormatting>
  <conditionalFormatting sqref="X213:Y213 S213 AA213:AB213 S214:AC214 S215">
    <cfRule type="expression" dxfId="93" priority="21">
      <formula xml:space="preserve"> NOT($AI$188)</formula>
    </cfRule>
  </conditionalFormatting>
  <conditionalFormatting sqref="H218:AC218">
    <cfRule type="containsText" dxfId="92" priority="20" operator="containsText" text="エラー">
      <formula>NOT(ISERROR(SEARCH("エラー",H218)))</formula>
    </cfRule>
  </conditionalFormatting>
  <conditionalFormatting sqref="J188:N188">
    <cfRule type="containsText" dxfId="91" priority="19" operator="containsText" text="エラー">
      <formula>NOT(ISERROR(SEARCH("エラー",J188)))</formula>
    </cfRule>
  </conditionalFormatting>
  <conditionalFormatting sqref="Z33:AF33">
    <cfRule type="containsText" dxfId="90" priority="18" operator="containsText" text="エラー">
      <formula>NOT(ISERROR(SEARCH("エラー",Z33)))</formula>
    </cfRule>
  </conditionalFormatting>
  <conditionalFormatting sqref="AA302:AD302">
    <cfRule type="expression" dxfId="89" priority="17">
      <formula>$AI$303</formula>
    </cfRule>
  </conditionalFormatting>
  <conditionalFormatting sqref="AA303:AD303">
    <cfRule type="expression" dxfId="88" priority="16">
      <formula>$AI$302</formula>
    </cfRule>
  </conditionalFormatting>
  <conditionalFormatting sqref="S216">
    <cfRule type="expression" dxfId="87" priority="12">
      <formula xml:space="preserve"> NOT($AI$188)</formula>
    </cfRule>
  </conditionalFormatting>
  <conditionalFormatting sqref="AA63">
    <cfRule type="expression" dxfId="86" priority="318">
      <formula>OR($R$15=0,$AI$62)</formula>
    </cfRule>
  </conditionalFormatting>
  <conditionalFormatting sqref="F199:M200">
    <cfRule type="expression" dxfId="85" priority="10">
      <formula>AL$199="△"</formula>
    </cfRule>
  </conditionalFormatting>
  <conditionalFormatting sqref="F202:M203">
    <cfRule type="expression" dxfId="84" priority="9">
      <formula>AL$202="△"</formula>
    </cfRule>
  </conditionalFormatting>
  <conditionalFormatting sqref="F205:M206">
    <cfRule type="expression" dxfId="83" priority="8">
      <formula>AL$205="△"</formula>
    </cfRule>
  </conditionalFormatting>
  <conditionalFormatting sqref="F208:M209">
    <cfRule type="expression" dxfId="82" priority="7">
      <formula>AL$208="△"</formula>
    </cfRule>
  </conditionalFormatting>
  <conditionalFormatting sqref="J54:N54">
    <cfRule type="containsText" dxfId="81" priority="6" operator="containsText" text="×">
      <formula>NOT(ISERROR(SEARCH("×",J54)))</formula>
    </cfRule>
  </conditionalFormatting>
  <conditionalFormatting sqref="J54 J81">
    <cfRule type="containsText" dxfId="80" priority="5" operator="containsText" text="エラー">
      <formula>NOT(ISERROR(SEARCH("エラー",J54)))</formula>
    </cfRule>
  </conditionalFormatting>
  <conditionalFormatting sqref="AA302:AD303">
    <cfRule type="expression" dxfId="79" priority="3">
      <formula>$AI$305</formula>
    </cfRule>
  </conditionalFormatting>
  <conditionalFormatting sqref="AA305:AD305">
    <cfRule type="expression" dxfId="78" priority="2">
      <formula>$AI$301</formula>
    </cfRule>
  </conditionalFormatting>
  <conditionalFormatting sqref="N196:AC197">
    <cfRule type="expression" dxfId="77" priority="320">
      <formula>AU$196="△"</formula>
    </cfRule>
  </conditionalFormatting>
  <conditionalFormatting sqref="N199:AC200">
    <cfRule type="expression" dxfId="76" priority="322">
      <formula>AU$199="△"</formula>
    </cfRule>
  </conditionalFormatting>
  <conditionalFormatting sqref="N202:AC203">
    <cfRule type="expression" dxfId="75" priority="324">
      <formula>AU$202="△"</formula>
    </cfRule>
  </conditionalFormatting>
  <conditionalFormatting sqref="N205:AC206">
    <cfRule type="expression" dxfId="74" priority="326">
      <formula>AU$205="△"</formula>
    </cfRule>
  </conditionalFormatting>
  <conditionalFormatting sqref="N208:AC209">
    <cfRule type="expression" dxfId="73" priority="328">
      <formula>AU$208="△"</formula>
    </cfRule>
  </conditionalFormatting>
  <conditionalFormatting sqref="L141:AD141">
    <cfRule type="containsText" dxfId="72" priority="1" operator="containsText" text="入力漏れ">
      <formula>NOT(ISERROR(SEARCH("入力漏れ",L141)))</formula>
    </cfRule>
  </conditionalFormatting>
  <dataValidations count="21">
    <dataValidation type="list" allowBlank="1" showInputMessage="1" showErrorMessage="1" sqref="Y160 X213:Y213 L194:M194 X230 AB241:AC241 I10 AB239:AC239" xr:uid="{00000000-0002-0000-0500-000000000000}">
      <formula1>$AL$2:$AL$14</formula1>
    </dataValidation>
    <dataValidation type="list" allowBlank="1" showErrorMessage="1" prompt="_x000a_" sqref="V23:Y23" xr:uid="{00000000-0002-0000-0500-000001000000}">
      <formula1>$AL$2:$AL$12</formula1>
    </dataValidation>
    <dataValidation type="list" showInputMessage="1" showErrorMessage="1" sqref="X229" xr:uid="{00000000-0002-0000-0500-000002000000}">
      <formula1>$AP$2:$AP$3</formula1>
    </dataValidation>
    <dataValidation allowBlank="1" showInputMessage="1" showErrorMessage="1" promptTitle="入力時のポイント" prompt="記載例を削除して入力してください。" sqref="F142:F143 F185" xr:uid="{00000000-0002-0000-0500-000003000000}"/>
    <dataValidation type="list" allowBlank="1" showErrorMessage="1" prompt="_x000a_" sqref="V24:Y27 V35:Y41 V20:Y22 V29:Y30" xr:uid="{00000000-0002-0000-0500-000004000000}">
      <formula1>$AL$2:$AL$14</formula1>
    </dataValidation>
    <dataValidation type="list" allowBlank="1" showInputMessage="1" showErrorMessage="1" sqref="F71:K71 F297:K297 F289:K289 F262:K262 F249:K249 F120:K120 F105:K105 F83:K83 F223:K223 F128:K128 F76:K76 F293:K293" xr:uid="{00000000-0002-0000-0500-000005000000}">
      <formula1>$AQ$2:$AQ$4</formula1>
    </dataValidation>
    <dataValidation type="list" allowBlank="1" showInputMessage="1" showErrorMessage="1" sqref="V160:W160" xr:uid="{00000000-0002-0000-0500-000006000000}">
      <formula1>$AK$2:$AK$4</formula1>
    </dataValidation>
    <dataValidation type="list" allowBlank="1" showInputMessage="1" showErrorMessage="1" sqref="AA157:AA159 AB166:AD166 AA302:AA303 AA305 AA86:AA87 AA122:AD124 AA111:AD113 AA107:AD109 AD90:AG90 AA65:AD65 AB61:AD62 AA61:AA63 AA57:AD59 AA163:AA166 AD226 AA161:AD161 AB132:AD132 AA131:AA132 AA299 AB157:AD158 AA253" xr:uid="{00000000-0002-0000-0500-000007000000}">
      <formula1>$AP$2:$AP$4</formula1>
    </dataValidation>
    <dataValidation type="list" allowBlank="1" showInputMessage="1" showErrorMessage="1" sqref="D11:N11" xr:uid="{00000000-0002-0000-0500-000008000000}">
      <formula1>$AN$2:$AN$12</formula1>
    </dataValidation>
    <dataValidation type="whole" operator="greaterThanOrEqual" allowBlank="1" showInputMessage="1" showErrorMessage="1" sqref="W137:Z137" xr:uid="{00000000-0002-0000-0500-000009000000}">
      <formula1>0</formula1>
    </dataValidation>
    <dataValidation type="whole" allowBlank="1" showInputMessage="1" showErrorMessage="1" sqref="F194:I194" xr:uid="{00000000-0002-0000-0500-00000A000000}">
      <formula1>1950</formula1>
      <formula2>AK2+1</formula2>
    </dataValidation>
    <dataValidation type="list" showInputMessage="1" showErrorMessage="1" sqref="V31:Y31" xr:uid="{00000000-0002-0000-0500-00000B000000}">
      <formula1>$AL$2:$AL$14</formula1>
    </dataValidation>
    <dataValidation type="list" errorStyle="warning" allowBlank="1" showErrorMessage="1" prompt="_x000a_" sqref="V33:Y33" xr:uid="{00000000-0002-0000-0500-00000C000000}">
      <formula1>$AL$2:$AL$14</formula1>
    </dataValidation>
    <dataValidation type="list" errorStyle="warning" showInputMessage="1" showErrorMessage="1" sqref="X270:AE270" xr:uid="{00000000-0002-0000-0500-00000D000000}">
      <formula1>$AP$2:$AP$3</formula1>
    </dataValidation>
    <dataValidation type="list" errorStyle="warning" allowBlank="1" showInputMessage="1" showErrorMessage="1" sqref="X271:AE271 AB282:AC282 AB280:AC280" xr:uid="{00000000-0002-0000-0500-00000E000000}">
      <formula1>$AL$2:$AL$14</formula1>
    </dataValidation>
    <dataValidation type="list" allowBlank="1" showInputMessage="1" showErrorMessage="1" sqref="S214:AC214" xr:uid="{00000000-0002-0000-0500-00000F000000}">
      <formula1>$AW$2:$AW$4</formula1>
    </dataValidation>
    <dataValidation type="list" allowBlank="1" showInputMessage="1" showErrorMessage="1" sqref="AA213:AB213" xr:uid="{00000000-0002-0000-0500-000010000000}">
      <formula1>$AV$2:$AV$33</formula1>
    </dataValidation>
    <dataValidation type="list" allowBlank="1" showInputMessage="1" showErrorMessage="1" sqref="AB232:AE232 AB273:AE273" xr:uid="{00000000-0002-0000-0500-000011000000}">
      <formula1>$AX$2:$AX$6</formula1>
    </dataValidation>
    <dataValidation type="list" allowBlank="1" showInputMessage="1" showErrorMessage="1" sqref="D12:N12" xr:uid="{00000000-0002-0000-0500-000012000000}">
      <formula1>INDIRECT($D$11&amp;$AO$2)</formula1>
    </dataValidation>
    <dataValidation type="whole" operator="greaterThanOrEqual" allowBlank="1" showInputMessage="1" showErrorMessage="1" sqref="S213:V213" xr:uid="{00000000-0002-0000-0500-000013000000}">
      <formula1>AK2-1</formula1>
    </dataValidation>
    <dataValidation type="list" allowBlank="1" showInputMessage="1" showErrorMessage="1" sqref="F141:K141" xr:uid="{324CF216-3D85-4E17-BDA4-2D4C0CEFCB2C}">
      <formula1>$AT$2:$AT$4</formula1>
    </dataValidation>
  </dataValidations>
  <printOptions horizontalCentered="1"/>
  <pageMargins left="0.59055118110236227" right="0.39370078740157483" top="0.39370078740157483" bottom="0.39370078740157483" header="0.31496062992125984" footer="0.31496062992125984"/>
  <pageSetup paperSize="9" scale="98" fitToHeight="0" orientation="portrait" r:id="rId1"/>
  <rowBreaks count="10" manualBreakCount="10">
    <brk id="50" max="32" man="1"/>
    <brk id="80" max="32" man="1"/>
    <brk id="102" max="32" man="1"/>
    <brk id="126" max="32" man="1"/>
    <brk id="152" max="32" man="1"/>
    <brk id="187" max="32" man="1"/>
    <brk id="220" max="32" man="1"/>
    <brk id="246" max="32" man="1"/>
    <brk id="286" max="32" man="1"/>
    <brk id="315" max="32"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00B0F0"/>
    <pageSetUpPr fitToPage="1"/>
  </sheetPr>
  <dimension ref="A1:J106"/>
  <sheetViews>
    <sheetView view="pageBreakPreview" zoomScaleNormal="100" zoomScaleSheetLayoutView="100" workbookViewId="0">
      <selection activeCell="C5" sqref="C5:G5"/>
    </sheetView>
  </sheetViews>
  <sheetFormatPr defaultColWidth="9" defaultRowHeight="12" outlineLevelCol="1"/>
  <cols>
    <col min="1" max="1" width="6.25" style="147" customWidth="1"/>
    <col min="2" max="3" width="18.25" style="147" customWidth="1"/>
    <col min="4" max="4" width="9" style="147"/>
    <col min="5" max="5" width="6.25" style="147" customWidth="1"/>
    <col min="6" max="7" width="18.25" style="147" customWidth="1"/>
    <col min="8" max="8" width="50.625" style="147" customWidth="1"/>
    <col min="9" max="9" width="9" style="147" hidden="1" customWidth="1" outlineLevel="1"/>
    <col min="10" max="10" width="9" style="147" collapsed="1"/>
    <col min="11" max="16384" width="9" style="147"/>
  </cols>
  <sheetData>
    <row r="1" spans="1:9" ht="15" customHeight="1">
      <c r="A1" s="1810" t="s">
        <v>704</v>
      </c>
      <c r="B1" s="1810"/>
      <c r="C1" s="1810"/>
      <c r="D1" s="1810"/>
      <c r="E1" s="1831" t="str">
        <f>$I$2&amp;"別紙1-1"&amp;$I$3</f>
        <v>加-23_月申-別紙1-1-保_Ver.2.01</v>
      </c>
      <c r="F1" s="1831"/>
      <c r="G1" s="1831"/>
      <c r="I1" s="190" t="s">
        <v>1018</v>
      </c>
    </row>
    <row r="2" spans="1:9" ht="15" customHeight="1">
      <c r="A2" s="512"/>
      <c r="B2" s="512"/>
      <c r="C2" s="512"/>
      <c r="D2" s="512"/>
      <c r="E2" s="684"/>
      <c r="F2" s="684"/>
      <c r="G2" s="684"/>
      <c r="I2" s="190" t="str">
        <f>【様式１】総括表・個票!$AJ$2</f>
        <v>加-23_月申-</v>
      </c>
    </row>
    <row r="3" spans="1:9" ht="15" customHeight="1">
      <c r="A3" s="682" t="s">
        <v>216</v>
      </c>
      <c r="B3" s="512"/>
      <c r="C3" s="512"/>
      <c r="D3" s="512"/>
      <c r="E3" s="512"/>
      <c r="F3" s="685"/>
      <c r="G3" s="686"/>
      <c r="I3" s="190" t="str">
        <f>【様式１】総括表・個票!$AJ$3</f>
        <v>-保_Ver.2.01</v>
      </c>
    </row>
    <row r="4" spans="1:9" ht="15" customHeight="1">
      <c r="A4" s="1817" t="s">
        <v>220</v>
      </c>
      <c r="B4" s="766" t="s">
        <v>222</v>
      </c>
      <c r="C4" s="1819" t="s">
        <v>224</v>
      </c>
      <c r="D4" s="1820"/>
      <c r="E4" s="1820"/>
      <c r="F4" s="1820"/>
      <c r="G4" s="1821"/>
    </row>
    <row r="5" spans="1:9" ht="15" customHeight="1">
      <c r="A5" s="1817"/>
      <c r="B5" s="767" t="s">
        <v>217</v>
      </c>
      <c r="C5" s="1825"/>
      <c r="D5" s="1825"/>
      <c r="E5" s="1825"/>
      <c r="F5" s="1825"/>
      <c r="G5" s="1825"/>
    </row>
    <row r="6" spans="1:9" ht="15" customHeight="1">
      <c r="A6" s="1817"/>
      <c r="B6" s="602" t="s">
        <v>218</v>
      </c>
      <c r="C6" s="1826"/>
      <c r="D6" s="1826"/>
      <c r="E6" s="1826"/>
      <c r="F6" s="1826"/>
      <c r="G6" s="1826"/>
    </row>
    <row r="7" spans="1:9" ht="15" hidden="1" customHeight="1">
      <c r="A7" s="1817"/>
      <c r="B7" s="602" t="s">
        <v>219</v>
      </c>
      <c r="C7" s="1827"/>
      <c r="D7" s="1827"/>
      <c r="E7" s="1827"/>
      <c r="F7" s="1827"/>
      <c r="G7" s="1827"/>
    </row>
    <row r="8" spans="1:9" ht="15" hidden="1" customHeight="1">
      <c r="A8" s="1817"/>
      <c r="B8" s="603" t="s">
        <v>223</v>
      </c>
      <c r="C8" s="1818"/>
      <c r="D8" s="1818"/>
      <c r="E8" s="1818"/>
      <c r="F8" s="1818"/>
      <c r="G8" s="1818"/>
    </row>
    <row r="9" spans="1:9" ht="15" customHeight="1">
      <c r="A9" s="1822" t="s">
        <v>221</v>
      </c>
      <c r="B9" s="766" t="s">
        <v>670</v>
      </c>
      <c r="C9" s="1819" t="s">
        <v>225</v>
      </c>
      <c r="D9" s="1820"/>
      <c r="E9" s="1820"/>
      <c r="F9" s="1820"/>
      <c r="G9" s="1821"/>
    </row>
    <row r="10" spans="1:9" ht="15" customHeight="1">
      <c r="A10" s="1823"/>
      <c r="B10" s="993"/>
      <c r="C10" s="1814"/>
      <c r="D10" s="1815"/>
      <c r="E10" s="1815"/>
      <c r="F10" s="1815"/>
      <c r="G10" s="1816"/>
    </row>
    <row r="11" spans="1:9" ht="15" customHeight="1">
      <c r="A11" s="1823"/>
      <c r="B11" s="994"/>
      <c r="C11" s="1811"/>
      <c r="D11" s="1812"/>
      <c r="E11" s="1812"/>
      <c r="F11" s="1812"/>
      <c r="G11" s="1813"/>
    </row>
    <row r="12" spans="1:9" ht="15" customHeight="1">
      <c r="A12" s="1823"/>
      <c r="B12" s="994"/>
      <c r="C12" s="1811"/>
      <c r="D12" s="1812"/>
      <c r="E12" s="1812"/>
      <c r="F12" s="1812"/>
      <c r="G12" s="1813"/>
    </row>
    <row r="13" spans="1:9" ht="15" customHeight="1">
      <c r="A13" s="1823"/>
      <c r="B13" s="994"/>
      <c r="C13" s="1811"/>
      <c r="D13" s="1812"/>
      <c r="E13" s="1812"/>
      <c r="F13" s="1812"/>
      <c r="G13" s="1813"/>
    </row>
    <row r="14" spans="1:9" ht="15" customHeight="1">
      <c r="A14" s="1823"/>
      <c r="B14" s="994"/>
      <c r="C14" s="1811"/>
      <c r="D14" s="1812"/>
      <c r="E14" s="1812"/>
      <c r="F14" s="1812"/>
      <c r="G14" s="1813"/>
    </row>
    <row r="15" spans="1:9" ht="15" customHeight="1">
      <c r="A15" s="1823"/>
      <c r="B15" s="994"/>
      <c r="C15" s="1811"/>
      <c r="D15" s="1812"/>
      <c r="E15" s="1812"/>
      <c r="F15" s="1812"/>
      <c r="G15" s="1813"/>
    </row>
    <row r="16" spans="1:9" ht="15" customHeight="1">
      <c r="A16" s="1823"/>
      <c r="B16" s="994"/>
      <c r="C16" s="1811"/>
      <c r="D16" s="1812"/>
      <c r="E16" s="1812"/>
      <c r="F16" s="1812"/>
      <c r="G16" s="1813"/>
    </row>
    <row r="17" spans="1:7" ht="15" customHeight="1">
      <c r="A17" s="1823"/>
      <c r="B17" s="994"/>
      <c r="C17" s="1811"/>
      <c r="D17" s="1812"/>
      <c r="E17" s="1812"/>
      <c r="F17" s="1812"/>
      <c r="G17" s="1813"/>
    </row>
    <row r="18" spans="1:7" ht="15" customHeight="1">
      <c r="A18" s="1823"/>
      <c r="B18" s="994"/>
      <c r="C18" s="1811"/>
      <c r="D18" s="1812"/>
      <c r="E18" s="1812"/>
      <c r="F18" s="1812"/>
      <c r="G18" s="1813"/>
    </row>
    <row r="19" spans="1:7" ht="15" customHeight="1">
      <c r="A19" s="1824"/>
      <c r="B19" s="995"/>
      <c r="C19" s="1828"/>
      <c r="D19" s="1829"/>
      <c r="E19" s="1829"/>
      <c r="F19" s="1829"/>
      <c r="G19" s="1830"/>
    </row>
    <row r="20" spans="1:7" ht="15" customHeight="1">
      <c r="A20" s="1822" t="s">
        <v>226</v>
      </c>
      <c r="B20" s="766" t="s">
        <v>670</v>
      </c>
      <c r="C20" s="1819" t="s">
        <v>227</v>
      </c>
      <c r="D20" s="1820"/>
      <c r="E20" s="1820"/>
      <c r="F20" s="1820"/>
      <c r="G20" s="1821"/>
    </row>
    <row r="21" spans="1:7" ht="15" customHeight="1">
      <c r="A21" s="1823"/>
      <c r="B21" s="993"/>
      <c r="C21" s="1814"/>
      <c r="D21" s="1815"/>
      <c r="E21" s="1815"/>
      <c r="F21" s="1815"/>
      <c r="G21" s="1816"/>
    </row>
    <row r="22" spans="1:7" ht="15" customHeight="1">
      <c r="A22" s="1823"/>
      <c r="B22" s="994"/>
      <c r="C22" s="1811"/>
      <c r="D22" s="1812"/>
      <c r="E22" s="1812"/>
      <c r="F22" s="1812"/>
      <c r="G22" s="1813"/>
    </row>
    <row r="23" spans="1:7" ht="15" customHeight="1">
      <c r="A23" s="1823"/>
      <c r="B23" s="994"/>
      <c r="C23" s="1811"/>
      <c r="D23" s="1812"/>
      <c r="E23" s="1812"/>
      <c r="F23" s="1812"/>
      <c r="G23" s="1813"/>
    </row>
    <row r="24" spans="1:7" ht="15" customHeight="1">
      <c r="A24" s="1823"/>
      <c r="B24" s="994"/>
      <c r="C24" s="1811"/>
      <c r="D24" s="1812"/>
      <c r="E24" s="1812"/>
      <c r="F24" s="1812"/>
      <c r="G24" s="1813"/>
    </row>
    <row r="25" spans="1:7" ht="15" customHeight="1">
      <c r="A25" s="1823"/>
      <c r="B25" s="994"/>
      <c r="C25" s="1811"/>
      <c r="D25" s="1812"/>
      <c r="E25" s="1812"/>
      <c r="F25" s="1812"/>
      <c r="G25" s="1813"/>
    </row>
    <row r="26" spans="1:7" ht="15" customHeight="1">
      <c r="A26" s="1823"/>
      <c r="B26" s="994"/>
      <c r="C26" s="1811"/>
      <c r="D26" s="1812"/>
      <c r="E26" s="1812"/>
      <c r="F26" s="1812"/>
      <c r="G26" s="1813"/>
    </row>
    <row r="27" spans="1:7" ht="15" customHeight="1">
      <c r="A27" s="1823"/>
      <c r="B27" s="994"/>
      <c r="C27" s="1811"/>
      <c r="D27" s="1812"/>
      <c r="E27" s="1812"/>
      <c r="F27" s="1812"/>
      <c r="G27" s="1813"/>
    </row>
    <row r="28" spans="1:7" ht="15" customHeight="1">
      <c r="A28" s="1823"/>
      <c r="B28" s="994"/>
      <c r="C28" s="1811"/>
      <c r="D28" s="1812"/>
      <c r="E28" s="1812"/>
      <c r="F28" s="1812"/>
      <c r="G28" s="1813"/>
    </row>
    <row r="29" spans="1:7" ht="15" customHeight="1">
      <c r="A29" s="1823"/>
      <c r="B29" s="994"/>
      <c r="C29" s="1811"/>
      <c r="D29" s="1812"/>
      <c r="E29" s="1812"/>
      <c r="F29" s="1812"/>
      <c r="G29" s="1813"/>
    </row>
    <row r="30" spans="1:7" ht="15" customHeight="1">
      <c r="A30" s="1823"/>
      <c r="B30" s="994"/>
      <c r="C30" s="1811"/>
      <c r="D30" s="1812"/>
      <c r="E30" s="1812"/>
      <c r="F30" s="1812"/>
      <c r="G30" s="1813"/>
    </row>
    <row r="31" spans="1:7" ht="15" customHeight="1">
      <c r="A31" s="1823"/>
      <c r="B31" s="994"/>
      <c r="C31" s="1811"/>
      <c r="D31" s="1812"/>
      <c r="E31" s="1812"/>
      <c r="F31" s="1812"/>
      <c r="G31" s="1813"/>
    </row>
    <row r="32" spans="1:7" ht="15" customHeight="1">
      <c r="A32" s="1823"/>
      <c r="B32" s="994"/>
      <c r="C32" s="1811"/>
      <c r="D32" s="1812"/>
      <c r="E32" s="1812"/>
      <c r="F32" s="1812"/>
      <c r="G32" s="1813"/>
    </row>
    <row r="33" spans="1:7" ht="15" customHeight="1">
      <c r="A33" s="1823"/>
      <c r="B33" s="994"/>
      <c r="C33" s="1811"/>
      <c r="D33" s="1812"/>
      <c r="E33" s="1812"/>
      <c r="F33" s="1812"/>
      <c r="G33" s="1813"/>
    </row>
    <row r="34" spans="1:7" ht="15" customHeight="1">
      <c r="A34" s="1823"/>
      <c r="B34" s="994"/>
      <c r="C34" s="1811"/>
      <c r="D34" s="1812"/>
      <c r="E34" s="1812"/>
      <c r="F34" s="1812"/>
      <c r="G34" s="1813"/>
    </row>
    <row r="35" spans="1:7" ht="15" customHeight="1">
      <c r="A35" s="1823"/>
      <c r="B35" s="994"/>
      <c r="C35" s="1811"/>
      <c r="D35" s="1812"/>
      <c r="E35" s="1812"/>
      <c r="F35" s="1812"/>
      <c r="G35" s="1813"/>
    </row>
    <row r="36" spans="1:7" ht="15" customHeight="1">
      <c r="A36" s="1823"/>
      <c r="B36" s="994"/>
      <c r="C36" s="1811"/>
      <c r="D36" s="1812"/>
      <c r="E36" s="1812"/>
      <c r="F36" s="1812"/>
      <c r="G36" s="1813"/>
    </row>
    <row r="37" spans="1:7" ht="15" customHeight="1">
      <c r="A37" s="1823"/>
      <c r="B37" s="994"/>
      <c r="C37" s="1811"/>
      <c r="D37" s="1812"/>
      <c r="E37" s="1812"/>
      <c r="F37" s="1812"/>
      <c r="G37" s="1813"/>
    </row>
    <row r="38" spans="1:7" ht="15" customHeight="1">
      <c r="A38" s="1823"/>
      <c r="B38" s="994"/>
      <c r="C38" s="1811"/>
      <c r="D38" s="1812"/>
      <c r="E38" s="1812"/>
      <c r="F38" s="1812"/>
      <c r="G38" s="1813"/>
    </row>
    <row r="39" spans="1:7" ht="15" customHeight="1" thickBot="1">
      <c r="A39" s="1823"/>
      <c r="B39" s="996"/>
      <c r="C39" s="1832"/>
      <c r="D39" s="1833"/>
      <c r="E39" s="1833"/>
      <c r="F39" s="1833"/>
      <c r="G39" s="1834"/>
    </row>
    <row r="40" spans="1:7" ht="15" customHeight="1" thickBot="1">
      <c r="A40" s="1838"/>
      <c r="B40" s="997"/>
      <c r="C40" s="1835" t="s">
        <v>646</v>
      </c>
      <c r="D40" s="1836"/>
      <c r="E40" s="1836"/>
      <c r="F40" s="1836"/>
      <c r="G40" s="1837"/>
    </row>
    <row r="41" spans="1:7" ht="15" customHeight="1">
      <c r="A41" s="1822" t="s">
        <v>228</v>
      </c>
      <c r="B41" s="768" t="s">
        <v>684</v>
      </c>
      <c r="C41" s="1819" t="s">
        <v>229</v>
      </c>
      <c r="D41" s="1820"/>
      <c r="E41" s="1820"/>
      <c r="F41" s="1820"/>
      <c r="G41" s="1821"/>
    </row>
    <row r="42" spans="1:7" ht="15" customHeight="1">
      <c r="A42" s="1823"/>
      <c r="B42" s="993"/>
      <c r="C42" s="1814"/>
      <c r="D42" s="1815"/>
      <c r="E42" s="1815"/>
      <c r="F42" s="1815"/>
      <c r="G42" s="1816"/>
    </row>
    <row r="43" spans="1:7" ht="15" customHeight="1">
      <c r="A43" s="1823"/>
      <c r="B43" s="994"/>
      <c r="C43" s="1811"/>
      <c r="D43" s="1812"/>
      <c r="E43" s="1812"/>
      <c r="F43" s="1812"/>
      <c r="G43" s="1813"/>
    </row>
    <row r="44" spans="1:7" ht="15" customHeight="1">
      <c r="A44" s="1823"/>
      <c r="B44" s="994"/>
      <c r="C44" s="1811"/>
      <c r="D44" s="1812"/>
      <c r="E44" s="1812"/>
      <c r="F44" s="1812"/>
      <c r="G44" s="1813"/>
    </row>
    <row r="45" spans="1:7" ht="15" customHeight="1">
      <c r="A45" s="1823"/>
      <c r="B45" s="994"/>
      <c r="C45" s="1811"/>
      <c r="D45" s="1812"/>
      <c r="E45" s="1812"/>
      <c r="F45" s="1812"/>
      <c r="G45" s="1813"/>
    </row>
    <row r="46" spans="1:7" ht="15" customHeight="1">
      <c r="A46" s="1823"/>
      <c r="B46" s="994"/>
      <c r="C46" s="1811"/>
      <c r="D46" s="1812"/>
      <c r="E46" s="1812"/>
      <c r="F46" s="1812"/>
      <c r="G46" s="1813"/>
    </row>
    <row r="47" spans="1:7" ht="15" customHeight="1">
      <c r="A47" s="1823"/>
      <c r="B47" s="994"/>
      <c r="C47" s="1811"/>
      <c r="D47" s="1812"/>
      <c r="E47" s="1812"/>
      <c r="F47" s="1812"/>
      <c r="G47" s="1813"/>
    </row>
    <row r="48" spans="1:7" ht="15" customHeight="1">
      <c r="A48" s="1823"/>
      <c r="B48" s="994"/>
      <c r="C48" s="1811"/>
      <c r="D48" s="1812"/>
      <c r="E48" s="1812"/>
      <c r="F48" s="1812"/>
      <c r="G48" s="1813"/>
    </row>
    <row r="49" spans="1:7" ht="15" customHeight="1">
      <c r="A49" s="1823"/>
      <c r="B49" s="994"/>
      <c r="C49" s="1811"/>
      <c r="D49" s="1812"/>
      <c r="E49" s="1812"/>
      <c r="F49" s="1812"/>
      <c r="G49" s="1813"/>
    </row>
    <row r="50" spans="1:7" ht="15" customHeight="1">
      <c r="A50" s="1823"/>
      <c r="B50" s="994"/>
      <c r="C50" s="1811"/>
      <c r="D50" s="1812"/>
      <c r="E50" s="1812"/>
      <c r="F50" s="1812"/>
      <c r="G50" s="1813"/>
    </row>
    <row r="51" spans="1:7" ht="15" customHeight="1">
      <c r="A51" s="1824"/>
      <c r="B51" s="995"/>
      <c r="C51" s="1828"/>
      <c r="D51" s="1829"/>
      <c r="E51" s="1829"/>
      <c r="F51" s="1829"/>
      <c r="G51" s="1830"/>
    </row>
    <row r="52" spans="1:7" ht="15" customHeight="1">
      <c r="A52" s="512"/>
      <c r="B52" s="512"/>
      <c r="C52" s="512"/>
      <c r="D52" s="512"/>
      <c r="E52" s="512"/>
      <c r="F52" s="512"/>
      <c r="G52" s="512"/>
    </row>
    <row r="53" spans="1:7" ht="15" customHeight="1">
      <c r="A53" s="680" t="s">
        <v>230</v>
      </c>
      <c r="B53" s="512"/>
      <c r="C53" s="512"/>
      <c r="D53" s="512"/>
      <c r="E53" s="512"/>
      <c r="F53" s="512"/>
      <c r="G53" s="512"/>
    </row>
    <row r="54" spans="1:7" ht="15" customHeight="1">
      <c r="A54" s="512" t="s">
        <v>653</v>
      </c>
      <c r="B54" s="512"/>
      <c r="C54" s="512"/>
      <c r="D54" s="512"/>
      <c r="E54" s="512"/>
      <c r="F54" s="512"/>
      <c r="G54" s="512"/>
    </row>
    <row r="55" spans="1:7" ht="15" customHeight="1">
      <c r="A55" s="512" t="s">
        <v>231</v>
      </c>
      <c r="B55" s="512"/>
      <c r="C55" s="512"/>
      <c r="D55" s="512"/>
      <c r="E55" s="512"/>
      <c r="F55" s="512"/>
      <c r="G55" s="512"/>
    </row>
    <row r="56" spans="1:7" ht="15" customHeight="1">
      <c r="A56" s="941" t="s">
        <v>72</v>
      </c>
      <c r="B56" s="941" t="s">
        <v>654</v>
      </c>
      <c r="C56" s="941" t="s">
        <v>73</v>
      </c>
      <c r="D56" s="512"/>
      <c r="E56" s="941" t="s">
        <v>72</v>
      </c>
      <c r="F56" s="941" t="s">
        <v>654</v>
      </c>
      <c r="G56" s="941" t="s">
        <v>73</v>
      </c>
    </row>
    <row r="57" spans="1:7" ht="15" customHeight="1">
      <c r="A57" s="769">
        <v>1</v>
      </c>
      <c r="B57" s="158" t="str">
        <f>CONCATENATE(【様式１】総括表・個票!D12)</f>
        <v/>
      </c>
      <c r="C57" s="158" t="str">
        <f>CONCATENATE(C5)</f>
        <v/>
      </c>
      <c r="D57" s="512"/>
      <c r="E57" s="769">
        <v>51</v>
      </c>
      <c r="F57" s="159"/>
      <c r="G57" s="159"/>
    </row>
    <row r="58" spans="1:7" ht="15" customHeight="1">
      <c r="A58" s="770">
        <v>2</v>
      </c>
      <c r="B58" s="160"/>
      <c r="C58" s="160"/>
      <c r="D58" s="512"/>
      <c r="E58" s="770">
        <v>52</v>
      </c>
      <c r="F58" s="160"/>
      <c r="G58" s="160"/>
    </row>
    <row r="59" spans="1:7" ht="15" customHeight="1">
      <c r="A59" s="770">
        <v>3</v>
      </c>
      <c r="B59" s="160"/>
      <c r="C59" s="160"/>
      <c r="D59" s="512"/>
      <c r="E59" s="770">
        <v>53</v>
      </c>
      <c r="F59" s="160"/>
      <c r="G59" s="160"/>
    </row>
    <row r="60" spans="1:7" ht="15" customHeight="1">
      <c r="A60" s="770">
        <v>4</v>
      </c>
      <c r="B60" s="160"/>
      <c r="C60" s="160"/>
      <c r="D60" s="512"/>
      <c r="E60" s="770">
        <v>54</v>
      </c>
      <c r="F60" s="160"/>
      <c r="G60" s="160"/>
    </row>
    <row r="61" spans="1:7" ht="15" customHeight="1">
      <c r="A61" s="770">
        <v>5</v>
      </c>
      <c r="B61" s="160"/>
      <c r="C61" s="160"/>
      <c r="D61" s="512"/>
      <c r="E61" s="770">
        <v>55</v>
      </c>
      <c r="F61" s="160"/>
      <c r="G61" s="160"/>
    </row>
    <row r="62" spans="1:7" ht="15" customHeight="1">
      <c r="A62" s="770">
        <v>6</v>
      </c>
      <c r="B62" s="160"/>
      <c r="C62" s="160"/>
      <c r="D62" s="512"/>
      <c r="E62" s="770">
        <v>56</v>
      </c>
      <c r="F62" s="160"/>
      <c r="G62" s="160"/>
    </row>
    <row r="63" spans="1:7" ht="15" customHeight="1">
      <c r="A63" s="770">
        <v>7</v>
      </c>
      <c r="B63" s="160"/>
      <c r="C63" s="160"/>
      <c r="D63" s="512"/>
      <c r="E63" s="770">
        <v>57</v>
      </c>
      <c r="F63" s="160"/>
      <c r="G63" s="160"/>
    </row>
    <row r="64" spans="1:7" ht="15" customHeight="1">
      <c r="A64" s="770">
        <v>8</v>
      </c>
      <c r="B64" s="160"/>
      <c r="C64" s="160"/>
      <c r="D64" s="512"/>
      <c r="E64" s="770">
        <v>58</v>
      </c>
      <c r="F64" s="160"/>
      <c r="G64" s="160"/>
    </row>
    <row r="65" spans="1:7" ht="15" customHeight="1">
      <c r="A65" s="770">
        <v>9</v>
      </c>
      <c r="B65" s="160"/>
      <c r="C65" s="160"/>
      <c r="D65" s="512"/>
      <c r="E65" s="770">
        <v>59</v>
      </c>
      <c r="F65" s="160"/>
      <c r="G65" s="160"/>
    </row>
    <row r="66" spans="1:7" ht="15" customHeight="1">
      <c r="A66" s="770">
        <v>10</v>
      </c>
      <c r="B66" s="160"/>
      <c r="C66" s="160"/>
      <c r="D66" s="512"/>
      <c r="E66" s="770">
        <v>60</v>
      </c>
      <c r="F66" s="160"/>
      <c r="G66" s="160"/>
    </row>
    <row r="67" spans="1:7" ht="15" customHeight="1">
      <c r="A67" s="770">
        <v>11</v>
      </c>
      <c r="B67" s="160"/>
      <c r="C67" s="160"/>
      <c r="D67" s="512"/>
      <c r="E67" s="770">
        <v>61</v>
      </c>
      <c r="F67" s="160"/>
      <c r="G67" s="160"/>
    </row>
    <row r="68" spans="1:7" ht="15" customHeight="1">
      <c r="A68" s="770">
        <v>12</v>
      </c>
      <c r="B68" s="160"/>
      <c r="C68" s="160"/>
      <c r="D68" s="512"/>
      <c r="E68" s="770">
        <v>62</v>
      </c>
      <c r="F68" s="160"/>
      <c r="G68" s="160"/>
    </row>
    <row r="69" spans="1:7" ht="15" customHeight="1">
      <c r="A69" s="770">
        <v>13</v>
      </c>
      <c r="B69" s="160"/>
      <c r="C69" s="160"/>
      <c r="D69" s="512"/>
      <c r="E69" s="770">
        <v>63</v>
      </c>
      <c r="F69" s="160"/>
      <c r="G69" s="160"/>
    </row>
    <row r="70" spans="1:7" ht="15" customHeight="1">
      <c r="A70" s="770">
        <v>14</v>
      </c>
      <c r="B70" s="160"/>
      <c r="C70" s="160"/>
      <c r="D70" s="512"/>
      <c r="E70" s="770">
        <v>64</v>
      </c>
      <c r="F70" s="160"/>
      <c r="G70" s="160"/>
    </row>
    <row r="71" spans="1:7" ht="15" customHeight="1">
      <c r="A71" s="770">
        <v>15</v>
      </c>
      <c r="B71" s="160"/>
      <c r="C71" s="160"/>
      <c r="D71" s="512"/>
      <c r="E71" s="770">
        <v>65</v>
      </c>
      <c r="F71" s="160"/>
      <c r="G71" s="160"/>
    </row>
    <row r="72" spans="1:7" ht="15" customHeight="1">
      <c r="A72" s="770">
        <v>16</v>
      </c>
      <c r="B72" s="160"/>
      <c r="C72" s="160"/>
      <c r="D72" s="512"/>
      <c r="E72" s="770">
        <v>66</v>
      </c>
      <c r="F72" s="160"/>
      <c r="G72" s="160"/>
    </row>
    <row r="73" spans="1:7" ht="15" customHeight="1">
      <c r="A73" s="770">
        <v>17</v>
      </c>
      <c r="B73" s="160"/>
      <c r="C73" s="160"/>
      <c r="D73" s="512"/>
      <c r="E73" s="770">
        <v>67</v>
      </c>
      <c r="F73" s="160"/>
      <c r="G73" s="160"/>
    </row>
    <row r="74" spans="1:7" ht="15" customHeight="1">
      <c r="A74" s="770">
        <v>18</v>
      </c>
      <c r="B74" s="160"/>
      <c r="C74" s="160"/>
      <c r="D74" s="512"/>
      <c r="E74" s="770">
        <v>68</v>
      </c>
      <c r="F74" s="160"/>
      <c r="G74" s="160"/>
    </row>
    <row r="75" spans="1:7" ht="15" customHeight="1">
      <c r="A75" s="770">
        <v>19</v>
      </c>
      <c r="B75" s="160"/>
      <c r="C75" s="160"/>
      <c r="D75" s="512"/>
      <c r="E75" s="770">
        <v>69</v>
      </c>
      <c r="F75" s="160"/>
      <c r="G75" s="160"/>
    </row>
    <row r="76" spans="1:7" ht="15" customHeight="1">
      <c r="A76" s="770">
        <v>20</v>
      </c>
      <c r="B76" s="160"/>
      <c r="C76" s="160"/>
      <c r="D76" s="512"/>
      <c r="E76" s="770">
        <v>70</v>
      </c>
      <c r="F76" s="160"/>
      <c r="G76" s="160"/>
    </row>
    <row r="77" spans="1:7" ht="15" customHeight="1">
      <c r="A77" s="770">
        <v>21</v>
      </c>
      <c r="B77" s="160"/>
      <c r="C77" s="160"/>
      <c r="D77" s="512"/>
      <c r="E77" s="770">
        <v>71</v>
      </c>
      <c r="F77" s="160"/>
      <c r="G77" s="160"/>
    </row>
    <row r="78" spans="1:7" ht="15" customHeight="1">
      <c r="A78" s="770">
        <v>22</v>
      </c>
      <c r="B78" s="160"/>
      <c r="C78" s="160"/>
      <c r="D78" s="512"/>
      <c r="E78" s="770">
        <v>72</v>
      </c>
      <c r="F78" s="160"/>
      <c r="G78" s="160"/>
    </row>
    <row r="79" spans="1:7" ht="15" customHeight="1">
      <c r="A79" s="770">
        <v>23</v>
      </c>
      <c r="B79" s="160"/>
      <c r="C79" s="160"/>
      <c r="D79" s="512"/>
      <c r="E79" s="770">
        <v>73</v>
      </c>
      <c r="F79" s="160"/>
      <c r="G79" s="160"/>
    </row>
    <row r="80" spans="1:7" ht="15" customHeight="1">
      <c r="A80" s="770">
        <v>24</v>
      </c>
      <c r="B80" s="160"/>
      <c r="C80" s="160"/>
      <c r="D80" s="512"/>
      <c r="E80" s="770">
        <v>74</v>
      </c>
      <c r="F80" s="160"/>
      <c r="G80" s="160"/>
    </row>
    <row r="81" spans="1:7" ht="15" customHeight="1">
      <c r="A81" s="770">
        <v>25</v>
      </c>
      <c r="B81" s="160"/>
      <c r="C81" s="160"/>
      <c r="D81" s="512"/>
      <c r="E81" s="770">
        <v>75</v>
      </c>
      <c r="F81" s="160"/>
      <c r="G81" s="160"/>
    </row>
    <row r="82" spans="1:7" ht="15" customHeight="1">
      <c r="A82" s="770">
        <v>26</v>
      </c>
      <c r="B82" s="160"/>
      <c r="C82" s="160"/>
      <c r="D82" s="512"/>
      <c r="E82" s="770">
        <v>76</v>
      </c>
      <c r="F82" s="160"/>
      <c r="G82" s="160"/>
    </row>
    <row r="83" spans="1:7" ht="15" customHeight="1">
      <c r="A83" s="770">
        <v>27</v>
      </c>
      <c r="B83" s="160"/>
      <c r="C83" s="160"/>
      <c r="D83" s="512"/>
      <c r="E83" s="770">
        <v>77</v>
      </c>
      <c r="F83" s="160"/>
      <c r="G83" s="160"/>
    </row>
    <row r="84" spans="1:7" ht="15" customHeight="1">
      <c r="A84" s="770">
        <v>28</v>
      </c>
      <c r="B84" s="160"/>
      <c r="C84" s="160"/>
      <c r="D84" s="512"/>
      <c r="E84" s="770">
        <v>78</v>
      </c>
      <c r="F84" s="160"/>
      <c r="G84" s="160"/>
    </row>
    <row r="85" spans="1:7" ht="15" customHeight="1">
      <c r="A85" s="770">
        <v>29</v>
      </c>
      <c r="B85" s="160"/>
      <c r="C85" s="160"/>
      <c r="D85" s="512"/>
      <c r="E85" s="770">
        <v>79</v>
      </c>
      <c r="F85" s="160"/>
      <c r="G85" s="160"/>
    </row>
    <row r="86" spans="1:7" ht="15" customHeight="1">
      <c r="A86" s="770">
        <v>30</v>
      </c>
      <c r="B86" s="160"/>
      <c r="C86" s="160"/>
      <c r="D86" s="512"/>
      <c r="E86" s="770">
        <v>80</v>
      </c>
      <c r="F86" s="160"/>
      <c r="G86" s="160"/>
    </row>
    <row r="87" spans="1:7" ht="15" customHeight="1">
      <c r="A87" s="770">
        <v>31</v>
      </c>
      <c r="B87" s="160"/>
      <c r="C87" s="160"/>
      <c r="D87" s="512"/>
      <c r="E87" s="770">
        <v>81</v>
      </c>
      <c r="F87" s="160"/>
      <c r="G87" s="160"/>
    </row>
    <row r="88" spans="1:7" ht="15" customHeight="1">
      <c r="A88" s="770">
        <v>32</v>
      </c>
      <c r="B88" s="160"/>
      <c r="C88" s="160"/>
      <c r="D88" s="512"/>
      <c r="E88" s="770">
        <v>82</v>
      </c>
      <c r="F88" s="160"/>
      <c r="G88" s="160"/>
    </row>
    <row r="89" spans="1:7" ht="15" customHeight="1">
      <c r="A89" s="770">
        <v>33</v>
      </c>
      <c r="B89" s="160"/>
      <c r="C89" s="160"/>
      <c r="D89" s="512"/>
      <c r="E89" s="770">
        <v>83</v>
      </c>
      <c r="F89" s="160"/>
      <c r="G89" s="160"/>
    </row>
    <row r="90" spans="1:7" ht="15" customHeight="1">
      <c r="A90" s="770">
        <v>34</v>
      </c>
      <c r="B90" s="160"/>
      <c r="C90" s="160"/>
      <c r="D90" s="512"/>
      <c r="E90" s="770">
        <v>84</v>
      </c>
      <c r="F90" s="160"/>
      <c r="G90" s="160"/>
    </row>
    <row r="91" spans="1:7" ht="15" customHeight="1">
      <c r="A91" s="770">
        <v>35</v>
      </c>
      <c r="B91" s="160"/>
      <c r="C91" s="160"/>
      <c r="D91" s="512"/>
      <c r="E91" s="770">
        <v>85</v>
      </c>
      <c r="F91" s="160"/>
      <c r="G91" s="160"/>
    </row>
    <row r="92" spans="1:7" ht="15" customHeight="1">
      <c r="A92" s="770">
        <v>36</v>
      </c>
      <c r="B92" s="160"/>
      <c r="C92" s="160"/>
      <c r="D92" s="512"/>
      <c r="E92" s="770">
        <v>86</v>
      </c>
      <c r="F92" s="160"/>
      <c r="G92" s="160"/>
    </row>
    <row r="93" spans="1:7" ht="15" customHeight="1">
      <c r="A93" s="770">
        <v>37</v>
      </c>
      <c r="B93" s="160"/>
      <c r="C93" s="160"/>
      <c r="D93" s="512"/>
      <c r="E93" s="770">
        <v>87</v>
      </c>
      <c r="F93" s="160"/>
      <c r="G93" s="160"/>
    </row>
    <row r="94" spans="1:7" ht="15" customHeight="1">
      <c r="A94" s="770">
        <v>38</v>
      </c>
      <c r="B94" s="160"/>
      <c r="C94" s="160"/>
      <c r="D94" s="512"/>
      <c r="E94" s="770">
        <v>88</v>
      </c>
      <c r="F94" s="160"/>
      <c r="G94" s="160"/>
    </row>
    <row r="95" spans="1:7" ht="15" customHeight="1">
      <c r="A95" s="770">
        <v>39</v>
      </c>
      <c r="B95" s="160"/>
      <c r="C95" s="160"/>
      <c r="D95" s="512"/>
      <c r="E95" s="770">
        <v>89</v>
      </c>
      <c r="F95" s="160"/>
      <c r="G95" s="160"/>
    </row>
    <row r="96" spans="1:7" ht="15" customHeight="1">
      <c r="A96" s="770">
        <v>40</v>
      </c>
      <c r="B96" s="160"/>
      <c r="C96" s="160"/>
      <c r="D96" s="512"/>
      <c r="E96" s="770">
        <v>90</v>
      </c>
      <c r="F96" s="160"/>
      <c r="G96" s="160"/>
    </row>
    <row r="97" spans="1:7" ht="15" customHeight="1">
      <c r="A97" s="770">
        <v>41</v>
      </c>
      <c r="B97" s="160"/>
      <c r="C97" s="160"/>
      <c r="D97" s="512"/>
      <c r="E97" s="770">
        <v>91</v>
      </c>
      <c r="F97" s="160"/>
      <c r="G97" s="160"/>
    </row>
    <row r="98" spans="1:7" ht="15" customHeight="1">
      <c r="A98" s="770">
        <v>42</v>
      </c>
      <c r="B98" s="160"/>
      <c r="C98" s="160"/>
      <c r="D98" s="512"/>
      <c r="E98" s="770">
        <v>92</v>
      </c>
      <c r="F98" s="160"/>
      <c r="G98" s="160"/>
    </row>
    <row r="99" spans="1:7" ht="15" customHeight="1">
      <c r="A99" s="770">
        <v>43</v>
      </c>
      <c r="B99" s="160"/>
      <c r="C99" s="160"/>
      <c r="D99" s="512"/>
      <c r="E99" s="770">
        <v>93</v>
      </c>
      <c r="F99" s="160"/>
      <c r="G99" s="160"/>
    </row>
    <row r="100" spans="1:7" ht="15" customHeight="1">
      <c r="A100" s="770">
        <v>44</v>
      </c>
      <c r="B100" s="160"/>
      <c r="C100" s="160"/>
      <c r="D100" s="512"/>
      <c r="E100" s="770">
        <v>94</v>
      </c>
      <c r="F100" s="160"/>
      <c r="G100" s="160"/>
    </row>
    <row r="101" spans="1:7" ht="15" customHeight="1">
      <c r="A101" s="770">
        <v>45</v>
      </c>
      <c r="B101" s="160"/>
      <c r="C101" s="160"/>
      <c r="D101" s="512"/>
      <c r="E101" s="770">
        <v>95</v>
      </c>
      <c r="F101" s="160"/>
      <c r="G101" s="160"/>
    </row>
    <row r="102" spans="1:7" ht="15" customHeight="1">
      <c r="A102" s="770">
        <v>46</v>
      </c>
      <c r="B102" s="160"/>
      <c r="C102" s="160"/>
      <c r="D102" s="512"/>
      <c r="E102" s="770">
        <v>96</v>
      </c>
      <c r="F102" s="160"/>
      <c r="G102" s="160"/>
    </row>
    <row r="103" spans="1:7" ht="15" customHeight="1">
      <c r="A103" s="770">
        <v>47</v>
      </c>
      <c r="B103" s="160"/>
      <c r="C103" s="160"/>
      <c r="D103" s="512"/>
      <c r="E103" s="770">
        <v>97</v>
      </c>
      <c r="F103" s="160"/>
      <c r="G103" s="160"/>
    </row>
    <row r="104" spans="1:7" ht="15" customHeight="1">
      <c r="A104" s="770">
        <v>48</v>
      </c>
      <c r="B104" s="160"/>
      <c r="C104" s="160"/>
      <c r="D104" s="512"/>
      <c r="E104" s="770">
        <v>98</v>
      </c>
      <c r="F104" s="160"/>
      <c r="G104" s="160"/>
    </row>
    <row r="105" spans="1:7" ht="15" customHeight="1">
      <c r="A105" s="770">
        <v>49</v>
      </c>
      <c r="B105" s="160"/>
      <c r="C105" s="160"/>
      <c r="D105" s="512"/>
      <c r="E105" s="770">
        <v>99</v>
      </c>
      <c r="F105" s="160"/>
      <c r="G105" s="160"/>
    </row>
    <row r="106" spans="1:7" ht="15" customHeight="1">
      <c r="A106" s="771">
        <v>50</v>
      </c>
      <c r="B106" s="161"/>
      <c r="C106" s="161"/>
      <c r="D106" s="512"/>
      <c r="E106" s="771">
        <v>100</v>
      </c>
      <c r="F106" s="161"/>
      <c r="G106" s="161"/>
    </row>
  </sheetData>
  <sheetProtection algorithmName="SHA-512" hashValue="55WfjYP+rD97vvbAKoch3ch+N0+KQZQIbmGOSpqbznS7bn2ZzOyufzxyj9gz48QbEhGtWRCynichPnpaX4TCbg==" saltValue="CBvnKUc5tHGSI3Yi+R8IQw==" spinCount="100000" sheet="1" objects="1" scenarios="1" selectLockedCells="1"/>
  <mergeCells count="54">
    <mergeCell ref="E1:G1"/>
    <mergeCell ref="A41:A51"/>
    <mergeCell ref="C41:G41"/>
    <mergeCell ref="C42:G42"/>
    <mergeCell ref="C43:G43"/>
    <mergeCell ref="C44:G44"/>
    <mergeCell ref="C45:G45"/>
    <mergeCell ref="C46:G46"/>
    <mergeCell ref="C49:G49"/>
    <mergeCell ref="C50:G50"/>
    <mergeCell ref="C51:G51"/>
    <mergeCell ref="C17:G17"/>
    <mergeCell ref="C39:G39"/>
    <mergeCell ref="C40:G40"/>
    <mergeCell ref="A20:A40"/>
    <mergeCell ref="C30:G30"/>
    <mergeCell ref="C31:G31"/>
    <mergeCell ref="C32:G32"/>
    <mergeCell ref="A4:A8"/>
    <mergeCell ref="C8:G8"/>
    <mergeCell ref="C4:G4"/>
    <mergeCell ref="A9:A19"/>
    <mergeCell ref="C5:G5"/>
    <mergeCell ref="C6:G6"/>
    <mergeCell ref="C7:G7"/>
    <mergeCell ref="C18:G18"/>
    <mergeCell ref="C19:G19"/>
    <mergeCell ref="C9:G9"/>
    <mergeCell ref="C10:G10"/>
    <mergeCell ref="C11:G11"/>
    <mergeCell ref="C12:G12"/>
    <mergeCell ref="C20:G20"/>
    <mergeCell ref="C29:G29"/>
    <mergeCell ref="C21:G21"/>
    <mergeCell ref="C22:G22"/>
    <mergeCell ref="C23:G23"/>
    <mergeCell ref="C13:G13"/>
    <mergeCell ref="C14:G14"/>
    <mergeCell ref="A1:D1"/>
    <mergeCell ref="C48:G48"/>
    <mergeCell ref="C15:G15"/>
    <mergeCell ref="C16:G16"/>
    <mergeCell ref="C34:G34"/>
    <mergeCell ref="C35:G35"/>
    <mergeCell ref="C36:G36"/>
    <mergeCell ref="C37:G37"/>
    <mergeCell ref="C47:G47"/>
    <mergeCell ref="C33:G33"/>
    <mergeCell ref="C38:G38"/>
    <mergeCell ref="C24:G24"/>
    <mergeCell ref="C25:G25"/>
    <mergeCell ref="C26:G26"/>
    <mergeCell ref="C27:G27"/>
    <mergeCell ref="C28:G28"/>
  </mergeCells>
  <phoneticPr fontId="1"/>
  <printOptions horizontalCentered="1"/>
  <pageMargins left="0.70866141732283472" right="0.70866141732283472" top="0.74803149606299213" bottom="0.74803149606299213" header="0.31496062992125984" footer="0.31496062992125984"/>
  <pageSetup paperSize="9" scale="94" fitToHeight="0" orientation="portrait" r:id="rId1"/>
  <rowBreaks count="1" manualBreakCount="1">
    <brk id="52"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rgb="FF00B0F0"/>
    <pageSetUpPr fitToPage="1"/>
  </sheetPr>
  <dimension ref="A1:AP30"/>
  <sheetViews>
    <sheetView view="pageBreakPreview" zoomScale="85" zoomScaleNormal="100" zoomScaleSheetLayoutView="85" workbookViewId="0">
      <selection activeCell="E5" sqref="E5"/>
    </sheetView>
  </sheetViews>
  <sheetFormatPr defaultColWidth="9" defaultRowHeight="12" outlineLevelCol="1"/>
  <cols>
    <col min="1" max="1" width="10.625" style="147" customWidth="1"/>
    <col min="2" max="3" width="18.25" style="147" customWidth="1"/>
    <col min="4" max="4" width="11" style="147" customWidth="1"/>
    <col min="5" max="5" width="18.875" style="147" bestFit="1" customWidth="1"/>
    <col min="6" max="6" width="12" style="147" customWidth="1"/>
    <col min="7" max="7" width="18.25" style="147" customWidth="1"/>
    <col min="8" max="8" width="11.375" style="147" bestFit="1" customWidth="1"/>
    <col min="9" max="9" width="50.625" style="147" customWidth="1"/>
    <col min="10" max="10" width="9" style="147" hidden="1" customWidth="1" outlineLevel="1"/>
    <col min="11" max="39" width="3.625" style="364" hidden="1" customWidth="1" outlineLevel="1"/>
    <col min="40" max="41" width="3.625" style="147" hidden="1" customWidth="1" outlineLevel="1"/>
    <col min="42" max="42" width="9" style="147" collapsed="1"/>
    <col min="43" max="16384" width="9" style="147"/>
  </cols>
  <sheetData>
    <row r="1" spans="1:41" ht="20.100000000000001" customHeight="1">
      <c r="A1" s="680" t="s">
        <v>1120</v>
      </c>
      <c r="B1" s="512"/>
      <c r="C1" s="512"/>
      <c r="D1" s="512"/>
      <c r="E1" s="512"/>
      <c r="F1" s="1831" t="str">
        <f>J2&amp;"別紙2"&amp;J3</f>
        <v>加-23_月申-別紙2-保_Ver.2.01</v>
      </c>
      <c r="G1" s="1831"/>
      <c r="H1" s="1831"/>
      <c r="J1" s="190" t="s">
        <v>1018</v>
      </c>
      <c r="K1" s="184" t="s">
        <v>700</v>
      </c>
      <c r="AM1" s="147"/>
    </row>
    <row r="2" spans="1:41" ht="20.100000000000001" customHeight="1">
      <c r="A2" s="681" t="s">
        <v>1176</v>
      </c>
      <c r="B2" s="681"/>
      <c r="C2" s="512"/>
      <c r="D2" s="512"/>
      <c r="E2" s="512"/>
      <c r="F2" s="684"/>
      <c r="G2" s="684"/>
      <c r="H2" s="684"/>
      <c r="J2" s="190" t="str">
        <f>【様式１】総括表・個票!$AJ$2</f>
        <v>加-23_月申-</v>
      </c>
      <c r="K2" s="184"/>
      <c r="AM2" s="147"/>
    </row>
    <row r="3" spans="1:41" ht="20.100000000000001" customHeight="1" thickBot="1">
      <c r="A3" s="682" t="s">
        <v>570</v>
      </c>
      <c r="B3" s="512"/>
      <c r="C3" s="683" t="e">
        <f>DATE(K4,M4,1)</f>
        <v>#VALUE!</v>
      </c>
      <c r="D3" s="512"/>
      <c r="E3" s="512"/>
      <c r="F3" s="512"/>
      <c r="G3" s="685"/>
      <c r="H3" s="686"/>
      <c r="J3" s="190" t="str">
        <f>【様式１】総括表・個票!$AJ$3</f>
        <v>-保_Ver.2.01</v>
      </c>
      <c r="K3" s="184" t="s">
        <v>701</v>
      </c>
      <c r="AM3" s="147"/>
    </row>
    <row r="4" spans="1:41" ht="20.100000000000001" customHeight="1" thickBot="1">
      <c r="A4" s="706"/>
      <c r="B4" s="707" t="s">
        <v>571</v>
      </c>
      <c r="C4" s="707" t="s">
        <v>576</v>
      </c>
      <c r="D4" s="708" t="s">
        <v>572</v>
      </c>
      <c r="E4" s="709" t="s">
        <v>573</v>
      </c>
      <c r="F4" s="708" t="s">
        <v>191</v>
      </c>
      <c r="G4" s="685"/>
      <c r="H4" s="686"/>
      <c r="K4" s="365" t="str">
        <f>【様式１】総括表・個票!D10</f>
        <v/>
      </c>
      <c r="L4" s="366" t="s">
        <v>11</v>
      </c>
      <c r="M4" s="366">
        <f>【様式１】総括表・個票!I10</f>
        <v>0</v>
      </c>
      <c r="N4" s="367" t="s">
        <v>185</v>
      </c>
    </row>
    <row r="5" spans="1:41" ht="20.100000000000001" customHeight="1">
      <c r="A5" s="1149"/>
      <c r="B5" s="695">
        <v>1</v>
      </c>
      <c r="C5" s="696" t="e">
        <f>HLOOKUP($B5,$K$6:$AO$7,2,FALSE)</f>
        <v>#N/A</v>
      </c>
      <c r="D5" s="697" t="e">
        <f>IF(C5="無","×",IF(HLOOKUP($B5,$K$6:$AO$8,3,FALSE)="○","祝日",IF($A5="○","特例","平日")))</f>
        <v>#N/A</v>
      </c>
      <c r="E5" s="361"/>
      <c r="F5" s="687" t="e">
        <f>IF(AND($D5="平日",OR($E5=0,ISTEXT($E5))),"○",IF(AND($D5&lt;&gt;"平日",E5&gt;0),"エラー",""))</f>
        <v>#N/A</v>
      </c>
      <c r="G5" s="685"/>
      <c r="H5" s="686"/>
      <c r="J5" s="184" t="s">
        <v>578</v>
      </c>
      <c r="K5" s="368" t="e">
        <f>IF(K7&lt;&gt;"",IF(WEEKDAY(DATE($K$4,$M$4,K$7))=7,1,0),0)</f>
        <v>#VALUE!</v>
      </c>
      <c r="L5" s="368" t="e">
        <f t="shared" ref="L5:AO5" si="0">IF(L7&lt;&gt;"",IF(WEEKDAY(DATE($K$4,$M$4,L$7))=7,1,0),0)</f>
        <v>#VALUE!</v>
      </c>
      <c r="M5" s="368" t="e">
        <f t="shared" si="0"/>
        <v>#VALUE!</v>
      </c>
      <c r="N5" s="368" t="e">
        <f t="shared" si="0"/>
        <v>#VALUE!</v>
      </c>
      <c r="O5" s="368" t="e">
        <f t="shared" si="0"/>
        <v>#VALUE!</v>
      </c>
      <c r="P5" s="368" t="e">
        <f t="shared" si="0"/>
        <v>#VALUE!</v>
      </c>
      <c r="Q5" s="368" t="e">
        <f t="shared" si="0"/>
        <v>#VALUE!</v>
      </c>
      <c r="R5" s="368" t="e">
        <f t="shared" si="0"/>
        <v>#VALUE!</v>
      </c>
      <c r="S5" s="368" t="e">
        <f t="shared" si="0"/>
        <v>#VALUE!</v>
      </c>
      <c r="T5" s="368" t="e">
        <f t="shared" si="0"/>
        <v>#VALUE!</v>
      </c>
      <c r="U5" s="368" t="e">
        <f t="shared" si="0"/>
        <v>#VALUE!</v>
      </c>
      <c r="V5" s="368" t="e">
        <f t="shared" si="0"/>
        <v>#VALUE!</v>
      </c>
      <c r="W5" s="368" t="e">
        <f t="shared" si="0"/>
        <v>#VALUE!</v>
      </c>
      <c r="X5" s="368" t="e">
        <f t="shared" si="0"/>
        <v>#VALUE!</v>
      </c>
      <c r="Y5" s="368" t="e">
        <f t="shared" si="0"/>
        <v>#VALUE!</v>
      </c>
      <c r="Z5" s="368" t="e">
        <f t="shared" si="0"/>
        <v>#VALUE!</v>
      </c>
      <c r="AA5" s="368" t="e">
        <f t="shared" si="0"/>
        <v>#VALUE!</v>
      </c>
      <c r="AB5" s="368" t="e">
        <f t="shared" si="0"/>
        <v>#VALUE!</v>
      </c>
      <c r="AC5" s="368" t="e">
        <f t="shared" si="0"/>
        <v>#VALUE!</v>
      </c>
      <c r="AD5" s="368" t="e">
        <f t="shared" si="0"/>
        <v>#VALUE!</v>
      </c>
      <c r="AE5" s="368" t="e">
        <f t="shared" si="0"/>
        <v>#VALUE!</v>
      </c>
      <c r="AF5" s="368" t="e">
        <f t="shared" si="0"/>
        <v>#VALUE!</v>
      </c>
      <c r="AG5" s="368" t="e">
        <f t="shared" si="0"/>
        <v>#VALUE!</v>
      </c>
      <c r="AH5" s="368" t="e">
        <f t="shared" si="0"/>
        <v>#VALUE!</v>
      </c>
      <c r="AI5" s="368" t="e">
        <f t="shared" si="0"/>
        <v>#VALUE!</v>
      </c>
      <c r="AJ5" s="368" t="e">
        <f t="shared" si="0"/>
        <v>#VALUE!</v>
      </c>
      <c r="AK5" s="368" t="e">
        <f t="shared" si="0"/>
        <v>#VALUE!</v>
      </c>
      <c r="AL5" s="368" t="e">
        <f t="shared" si="0"/>
        <v>#VALUE!</v>
      </c>
      <c r="AM5" s="368" t="e">
        <f t="shared" si="0"/>
        <v>#VALUE!</v>
      </c>
      <c r="AN5" s="368" t="e">
        <f t="shared" si="0"/>
        <v>#VALUE!</v>
      </c>
      <c r="AO5" s="368">
        <f t="shared" si="0"/>
        <v>0</v>
      </c>
    </row>
    <row r="6" spans="1:41" ht="20.100000000000001" customHeight="1">
      <c r="A6" s="1150"/>
      <c r="B6" s="698">
        <v>2</v>
      </c>
      <c r="C6" s="699" t="e">
        <f>HLOOKUP($B6,$K$6:$AO$7,2,FALSE)</f>
        <v>#N/A</v>
      </c>
      <c r="D6" s="700" t="e">
        <f>IF(C6="無","×",IF(HLOOKUP($B6,$K$6:$AO$8,3,FALSE)="○","祝日",IF($A6="○","特例","平日")))</f>
        <v>#N/A</v>
      </c>
      <c r="E6" s="362"/>
      <c r="F6" s="688" t="e">
        <f t="shared" ref="F6:F9" si="1">IF(AND($D6="平日",OR($E6=0,ISTEXT($E6))),"○",IF(AND($D6&lt;&gt;"平日",E6&gt;0),"エラー",""))</f>
        <v>#N/A</v>
      </c>
      <c r="G6" s="685"/>
      <c r="H6" s="686"/>
      <c r="J6" s="184" t="s">
        <v>577</v>
      </c>
      <c r="K6" s="369" t="e">
        <f>IF(K5&lt;&gt;1,0,COUNTIF($K$5:K5,1))</f>
        <v>#VALUE!</v>
      </c>
      <c r="L6" s="369" t="e">
        <f>IF(L5&lt;&gt;1,0,COUNTIF($K$5:L5,1))</f>
        <v>#VALUE!</v>
      </c>
      <c r="M6" s="369" t="e">
        <f>IF(M5&lt;&gt;1,0,COUNTIF($K$5:M5,1))</f>
        <v>#VALUE!</v>
      </c>
      <c r="N6" s="369" t="e">
        <f>IF(N5&lt;&gt;1,0,COUNTIF($K$5:N5,1))</f>
        <v>#VALUE!</v>
      </c>
      <c r="O6" s="369" t="e">
        <f>IF(O5&lt;&gt;1,0,COUNTIF($K$5:O5,1))</f>
        <v>#VALUE!</v>
      </c>
      <c r="P6" s="369" t="e">
        <f>IF(P5&lt;&gt;1,0,COUNTIF($K$5:P5,1))</f>
        <v>#VALUE!</v>
      </c>
      <c r="Q6" s="369" t="e">
        <f>IF(Q5&lt;&gt;1,0,COUNTIF($K$5:Q5,1))</f>
        <v>#VALUE!</v>
      </c>
      <c r="R6" s="369" t="e">
        <f>IF(R5&lt;&gt;1,0,COUNTIF($K$5:R5,1))</f>
        <v>#VALUE!</v>
      </c>
      <c r="S6" s="369" t="e">
        <f>IF(S5&lt;&gt;1,0,COUNTIF($K$5:S5,1))</f>
        <v>#VALUE!</v>
      </c>
      <c r="T6" s="369" t="e">
        <f>IF(T5&lt;&gt;1,0,COUNTIF($K$5:T5,1))</f>
        <v>#VALUE!</v>
      </c>
      <c r="U6" s="369" t="e">
        <f>IF(U5&lt;&gt;1,0,COUNTIF($K$5:U5,1))</f>
        <v>#VALUE!</v>
      </c>
      <c r="V6" s="369" t="e">
        <f>IF(V5&lt;&gt;1,0,COUNTIF($K$5:V5,1))</f>
        <v>#VALUE!</v>
      </c>
      <c r="W6" s="369" t="e">
        <f>IF(W5&lt;&gt;1,0,COUNTIF($K$5:W5,1))</f>
        <v>#VALUE!</v>
      </c>
      <c r="X6" s="369" t="e">
        <f>IF(X5&lt;&gt;1,0,COUNTIF($K$5:X5,1))</f>
        <v>#VALUE!</v>
      </c>
      <c r="Y6" s="369" t="e">
        <f>IF(Y5&lt;&gt;1,0,COUNTIF($K$5:Y5,1))</f>
        <v>#VALUE!</v>
      </c>
      <c r="Z6" s="369" t="e">
        <f>IF(Z5&lt;&gt;1,0,COUNTIF($K$5:Z5,1))</f>
        <v>#VALUE!</v>
      </c>
      <c r="AA6" s="369" t="e">
        <f>IF(AA5&lt;&gt;1,0,COUNTIF($K$5:AA5,1))</f>
        <v>#VALUE!</v>
      </c>
      <c r="AB6" s="369" t="e">
        <f>IF(AB5&lt;&gt;1,0,COUNTIF($K$5:AB5,1))</f>
        <v>#VALUE!</v>
      </c>
      <c r="AC6" s="369" t="e">
        <f>IF(AC5&lt;&gt;1,0,COUNTIF($K$5:AC5,1))</f>
        <v>#VALUE!</v>
      </c>
      <c r="AD6" s="369" t="e">
        <f>IF(AD5&lt;&gt;1,0,COUNTIF($K$5:AD5,1))</f>
        <v>#VALUE!</v>
      </c>
      <c r="AE6" s="369" t="e">
        <f>IF(AE5&lt;&gt;1,0,COUNTIF($K$5:AE5,1))</f>
        <v>#VALUE!</v>
      </c>
      <c r="AF6" s="369" t="e">
        <f>IF(AF5&lt;&gt;1,0,COUNTIF($K$5:AF5,1))</f>
        <v>#VALUE!</v>
      </c>
      <c r="AG6" s="369" t="e">
        <f>IF(AG5&lt;&gt;1,0,COUNTIF($K$5:AG5,1))</f>
        <v>#VALUE!</v>
      </c>
      <c r="AH6" s="369" t="e">
        <f>IF(AH5&lt;&gt;1,0,COUNTIF($K$5:AH5,1))</f>
        <v>#VALUE!</v>
      </c>
      <c r="AI6" s="369" t="e">
        <f>IF(AI5&lt;&gt;1,0,COUNTIF($K$5:AI5,1))</f>
        <v>#VALUE!</v>
      </c>
      <c r="AJ6" s="369" t="e">
        <f>IF(AJ5&lt;&gt;1,0,COUNTIF($K$5:AJ5,1))</f>
        <v>#VALUE!</v>
      </c>
      <c r="AK6" s="369" t="e">
        <f>IF(AK5&lt;&gt;1,0,COUNTIF($K$5:AK5,1))</f>
        <v>#VALUE!</v>
      </c>
      <c r="AL6" s="369" t="e">
        <f>IF(AL5&lt;&gt;1,0,COUNTIF($K$5:AL5,1))</f>
        <v>#VALUE!</v>
      </c>
      <c r="AM6" s="369" t="e">
        <f>IF(AM5&lt;&gt;1,0,COUNTIF($K$5:AM5,1))</f>
        <v>#VALUE!</v>
      </c>
      <c r="AN6" s="369" t="e">
        <f>IF(AN5&lt;&gt;1,0,COUNTIF($K$5:AN5,1))</f>
        <v>#VALUE!</v>
      </c>
      <c r="AO6" s="369">
        <f>IF(AO5&lt;&gt;1,0,COUNTIF($K$5:AO5,1))</f>
        <v>0</v>
      </c>
    </row>
    <row r="7" spans="1:41" ht="20.100000000000001" customHeight="1">
      <c r="A7" s="1150"/>
      <c r="B7" s="698">
        <v>3</v>
      </c>
      <c r="C7" s="699" t="e">
        <f>HLOOKUP($B7,$K$6:$AO$7,2,FALSE)</f>
        <v>#N/A</v>
      </c>
      <c r="D7" s="700" t="e">
        <f>IF(C7="無","×",IF(HLOOKUP($B7,$K$6:$AO$8,3,FALSE)="○","祝日",IF($A7="○","特例","平日")))</f>
        <v>#N/A</v>
      </c>
      <c r="E7" s="362"/>
      <c r="F7" s="688" t="e">
        <f t="shared" si="1"/>
        <v>#N/A</v>
      </c>
      <c r="G7" s="685"/>
      <c r="H7" s="686"/>
      <c r="J7" s="184" t="s">
        <v>576</v>
      </c>
      <c r="K7" s="370">
        <v>1</v>
      </c>
      <c r="L7" s="370">
        <v>2</v>
      </c>
      <c r="M7" s="370">
        <v>3</v>
      </c>
      <c r="N7" s="370">
        <v>4</v>
      </c>
      <c r="O7" s="370">
        <v>5</v>
      </c>
      <c r="P7" s="370">
        <v>6</v>
      </c>
      <c r="Q7" s="370">
        <v>7</v>
      </c>
      <c r="R7" s="370">
        <v>8</v>
      </c>
      <c r="S7" s="370">
        <v>9</v>
      </c>
      <c r="T7" s="370">
        <v>10</v>
      </c>
      <c r="U7" s="370">
        <v>11</v>
      </c>
      <c r="V7" s="370">
        <v>12</v>
      </c>
      <c r="W7" s="370">
        <v>13</v>
      </c>
      <c r="X7" s="370">
        <v>14</v>
      </c>
      <c r="Y7" s="370">
        <v>15</v>
      </c>
      <c r="Z7" s="370">
        <v>16</v>
      </c>
      <c r="AA7" s="370">
        <v>17</v>
      </c>
      <c r="AB7" s="370">
        <v>18</v>
      </c>
      <c r="AC7" s="370">
        <v>19</v>
      </c>
      <c r="AD7" s="370">
        <v>20</v>
      </c>
      <c r="AE7" s="370">
        <v>21</v>
      </c>
      <c r="AF7" s="370">
        <v>22</v>
      </c>
      <c r="AG7" s="370">
        <v>23</v>
      </c>
      <c r="AH7" s="370">
        <v>24</v>
      </c>
      <c r="AI7" s="370">
        <v>25</v>
      </c>
      <c r="AJ7" s="370">
        <v>26</v>
      </c>
      <c r="AK7" s="370">
        <v>27</v>
      </c>
      <c r="AL7" s="370">
        <v>28</v>
      </c>
      <c r="AM7" s="370" t="e">
        <f>IF(MONTH(DATE(K4,M4,AL7+1))=M4,AL7+1,"")</f>
        <v>#VALUE!</v>
      </c>
      <c r="AN7" s="370" t="e">
        <f>IF(M4&lt;&gt;2,IF(AM7&lt;&gt;"",AM7+1,""),"")</f>
        <v>#VALUE!</v>
      </c>
      <c r="AO7" s="370" t="str">
        <f>IF(OR(M4=1,M4=3,M4=5,M4=7,M4=8,M4=10,M4=12),AN7+1,"")</f>
        <v/>
      </c>
    </row>
    <row r="8" spans="1:41" ht="20.100000000000001" customHeight="1">
      <c r="A8" s="1150"/>
      <c r="B8" s="698">
        <v>4</v>
      </c>
      <c r="C8" s="699" t="e">
        <f>HLOOKUP($B8,$K$6:$AO$7,2,FALSE)</f>
        <v>#N/A</v>
      </c>
      <c r="D8" s="700" t="e">
        <f>IF(C8="無","×",IF(HLOOKUP($B8,$K$6:$AO$8,3,FALSE)="○","祝日",IF($A8="○","特例","平日")))</f>
        <v>#N/A</v>
      </c>
      <c r="E8" s="362"/>
      <c r="F8" s="688" t="e">
        <f t="shared" si="1"/>
        <v>#N/A</v>
      </c>
      <c r="G8" s="685"/>
      <c r="H8" s="686"/>
      <c r="J8" s="371" t="s">
        <v>575</v>
      </c>
      <c r="K8" s="212" t="e">
        <f>IF(K7&lt;&gt;"",IF(OR(WEEKDAY(DATE($K$4,$M$4,K$7),2)&gt;6,COUNTIF('休日情報(要更新)'!$A$5:$J$32,DATE($K$4,$M$4,K$7)) &gt;=1),"○",""),"")</f>
        <v>#VALUE!</v>
      </c>
      <c r="L8" s="212" t="e">
        <f>IF(L7&lt;&gt;"",IF(OR(WEEKDAY(DATE($K$4,$M$4,L$7),2)&gt;6,COUNTIF('休日情報(要更新)'!$A$5:$J$32,DATE($K$4,$M$4,L$7)) &gt;=1),"○",""),"")</f>
        <v>#VALUE!</v>
      </c>
      <c r="M8" s="212" t="e">
        <f>IF(M7&lt;&gt;"",IF(OR(WEEKDAY(DATE($K$4,$M$4,M$7),2)&gt;6,COUNTIF('休日情報(要更新)'!$A$5:$J$32,DATE($K$4,$M$4,M$7)) &gt;=1),"○",""),"")</f>
        <v>#VALUE!</v>
      </c>
      <c r="N8" s="212" t="e">
        <f>IF(N7&lt;&gt;"",IF(OR(WEEKDAY(DATE($K$4,$M$4,N$7),2)&gt;6,COUNTIF('休日情報(要更新)'!$A$5:$J$32,DATE($K$4,$M$4,N$7)) &gt;=1),"○",""),"")</f>
        <v>#VALUE!</v>
      </c>
      <c r="O8" s="212" t="e">
        <f>IF(O7&lt;&gt;"",IF(OR(WEEKDAY(DATE($K$4,$M$4,O$7),2)&gt;6,COUNTIF('休日情報(要更新)'!$A$5:$J$32,DATE($K$4,$M$4,O$7)) &gt;=1),"○",""),"")</f>
        <v>#VALUE!</v>
      </c>
      <c r="P8" s="212" t="e">
        <f>IF(P7&lt;&gt;"",IF(OR(WEEKDAY(DATE($K$4,$M$4,P$7),2)&gt;6,COUNTIF('休日情報(要更新)'!$A$5:$J$32,DATE($K$4,$M$4,P$7)) &gt;=1),"○",""),"")</f>
        <v>#VALUE!</v>
      </c>
      <c r="Q8" s="212" t="e">
        <f>IF(Q7&lt;&gt;"",IF(OR(WEEKDAY(DATE($K$4,$M$4,Q$7),2)&gt;6,COUNTIF('休日情報(要更新)'!$A$5:$J$32,DATE($K$4,$M$4,Q$7)) &gt;=1),"○",""),"")</f>
        <v>#VALUE!</v>
      </c>
      <c r="R8" s="212" t="e">
        <f>IF(R7&lt;&gt;"",IF(OR(WEEKDAY(DATE($K$4,$M$4,R$7),2)&gt;6,COUNTIF('休日情報(要更新)'!$A$5:$J$32,DATE($K$4,$M$4,R$7)) &gt;=1),"○",""),"")</f>
        <v>#VALUE!</v>
      </c>
      <c r="S8" s="212" t="e">
        <f>IF(S7&lt;&gt;"",IF(OR(WEEKDAY(DATE($K$4,$M$4,S$7),2)&gt;6,COUNTIF('休日情報(要更新)'!$A$5:$J$32,DATE($K$4,$M$4,S$7)) &gt;=1),"○",""),"")</f>
        <v>#VALUE!</v>
      </c>
      <c r="T8" s="212" t="e">
        <f>IF(T7&lt;&gt;"",IF(OR(WEEKDAY(DATE($K$4,$M$4,T$7),2)&gt;6,COUNTIF('休日情報(要更新)'!$A$5:$J$32,DATE($K$4,$M$4,T$7)) &gt;=1),"○",""),"")</f>
        <v>#VALUE!</v>
      </c>
      <c r="U8" s="212" t="e">
        <f>IF(U7&lt;&gt;"",IF(OR(WEEKDAY(DATE($K$4,$M$4,U$7),2)&gt;6,COUNTIF('休日情報(要更新)'!$A$5:$J$32,DATE($K$4,$M$4,U$7)) &gt;=1),"○",""),"")</f>
        <v>#VALUE!</v>
      </c>
      <c r="V8" s="212" t="e">
        <f>IF(V7&lt;&gt;"",IF(OR(WEEKDAY(DATE($K$4,$M$4,V$7),2)&gt;6,COUNTIF('休日情報(要更新)'!$A$5:$J$32,DATE($K$4,$M$4,V$7)) &gt;=1),"○",""),"")</f>
        <v>#VALUE!</v>
      </c>
      <c r="W8" s="212" t="e">
        <f>IF(W7&lt;&gt;"",IF(OR(WEEKDAY(DATE($K$4,$M$4,W$7),2)&gt;6,COUNTIF('休日情報(要更新)'!$A$5:$J$32,DATE($K$4,$M$4,W$7)) &gt;=1),"○",""),"")</f>
        <v>#VALUE!</v>
      </c>
      <c r="X8" s="212" t="e">
        <f>IF(X7&lt;&gt;"",IF(OR(WEEKDAY(DATE($K$4,$M$4,X$7),2)&gt;6,COUNTIF('休日情報(要更新)'!$A$5:$J$32,DATE($K$4,$M$4,X$7)) &gt;=1),"○",""),"")</f>
        <v>#VALUE!</v>
      </c>
      <c r="Y8" s="212" t="e">
        <f>IF(Y7&lt;&gt;"",IF(OR(WEEKDAY(DATE($K$4,$M$4,Y$7),2)&gt;6,COUNTIF('休日情報(要更新)'!$A$5:$J$32,DATE($K$4,$M$4,Y$7)) &gt;=1),"○",""),"")</f>
        <v>#VALUE!</v>
      </c>
      <c r="Z8" s="212" t="e">
        <f>IF(Z7&lt;&gt;"",IF(OR(WEEKDAY(DATE($K$4,$M$4,Z$7),2)&gt;6,COUNTIF('休日情報(要更新)'!$A$5:$J$32,DATE($K$4,$M$4,Z$7)) &gt;=1),"○",""),"")</f>
        <v>#VALUE!</v>
      </c>
      <c r="AA8" s="212" t="e">
        <f>IF(AA7&lt;&gt;"",IF(OR(WEEKDAY(DATE($K$4,$M$4,AA$7),2)&gt;6,COUNTIF('休日情報(要更新)'!$A$5:$J$32,DATE($K$4,$M$4,AA$7)) &gt;=1),"○",""),"")</f>
        <v>#VALUE!</v>
      </c>
      <c r="AB8" s="212" t="e">
        <f>IF(AB7&lt;&gt;"",IF(OR(WEEKDAY(DATE($K$4,$M$4,AB$7),2)&gt;6,COUNTIF('休日情報(要更新)'!$A$5:$J$32,DATE($K$4,$M$4,AB$7)) &gt;=1),"○",""),"")</f>
        <v>#VALUE!</v>
      </c>
      <c r="AC8" s="212" t="e">
        <f>IF(AC7&lt;&gt;"",IF(OR(WEEKDAY(DATE($K$4,$M$4,AC$7),2)&gt;6,COUNTIF('休日情報(要更新)'!$A$5:$J$32,DATE($K$4,$M$4,AC$7)) &gt;=1),"○",""),"")</f>
        <v>#VALUE!</v>
      </c>
      <c r="AD8" s="212" t="e">
        <f>IF(AD7&lt;&gt;"",IF(OR(WEEKDAY(DATE($K$4,$M$4,AD$7),2)&gt;6,COUNTIF('休日情報(要更新)'!$A$5:$J$32,DATE($K$4,$M$4,AD$7)) &gt;=1),"○",""),"")</f>
        <v>#VALUE!</v>
      </c>
      <c r="AE8" s="212" t="e">
        <f>IF(AE7&lt;&gt;"",IF(OR(WEEKDAY(DATE($K$4,$M$4,AE$7),2)&gt;6,COUNTIF('休日情報(要更新)'!$A$5:$J$32,DATE($K$4,$M$4,AE$7)) &gt;=1),"○",""),"")</f>
        <v>#VALUE!</v>
      </c>
      <c r="AF8" s="212" t="e">
        <f>IF(AF7&lt;&gt;"",IF(OR(WEEKDAY(DATE($K$4,$M$4,AF$7),2)&gt;6,COUNTIF('休日情報(要更新)'!$A$5:$J$32,DATE($K$4,$M$4,AF$7)) &gt;=1),"○",""),"")</f>
        <v>#VALUE!</v>
      </c>
      <c r="AG8" s="212" t="e">
        <f>IF(AG7&lt;&gt;"",IF(OR(WEEKDAY(DATE($K$4,$M$4,AG$7),2)&gt;6,COUNTIF('休日情報(要更新)'!$A$5:$J$32,DATE($K$4,$M$4,AG$7)) &gt;=1),"○",""),"")</f>
        <v>#VALUE!</v>
      </c>
      <c r="AH8" s="212" t="e">
        <f>IF(AH7&lt;&gt;"",IF(OR(WEEKDAY(DATE($K$4,$M$4,AH$7),2)&gt;6,COUNTIF('休日情報(要更新)'!$A$5:$J$32,DATE($K$4,$M$4,AH$7)) &gt;=1),"○",""),"")</f>
        <v>#VALUE!</v>
      </c>
      <c r="AI8" s="212" t="e">
        <f>IF(AI7&lt;&gt;"",IF(OR(WEEKDAY(DATE($K$4,$M$4,AI$7),2)&gt;6,COUNTIF('休日情報(要更新)'!$A$5:$J$32,DATE($K$4,$M$4,AI$7)) &gt;=1),"○",""),"")</f>
        <v>#VALUE!</v>
      </c>
      <c r="AJ8" s="212" t="e">
        <f>IF(AJ7&lt;&gt;"",IF(OR(WEEKDAY(DATE($K$4,$M$4,AJ$7),2)&gt;6,COUNTIF('休日情報(要更新)'!$A$5:$J$32,DATE($K$4,$M$4,AJ$7)) &gt;=1),"○",""),"")</f>
        <v>#VALUE!</v>
      </c>
      <c r="AK8" s="212" t="e">
        <f>IF(AK7&lt;&gt;"",IF(OR(WEEKDAY(DATE($K$4,$M$4,AK$7),2)&gt;6,COUNTIF('休日情報(要更新)'!$A$5:$J$32,DATE($K$4,$M$4,AK$7)) &gt;=1),"○",""),"")</f>
        <v>#VALUE!</v>
      </c>
      <c r="AL8" s="212" t="e">
        <f>IF(AL7&lt;&gt;"",IF(OR(WEEKDAY(DATE($K$4,$M$4,AL$7),2)&gt;6,COUNTIF('休日情報(要更新)'!$A$5:$J$32,DATE($K$4,$M$4,AL$7)) &gt;=1),"○",""),"")</f>
        <v>#VALUE!</v>
      </c>
      <c r="AM8" s="212" t="e">
        <f>IF(AM7&lt;&gt;"",IF(OR(WEEKDAY(DATE($K$4,$M$4,AM$7),2)&gt;6,COUNTIF('休日情報(要更新)'!$A$5:$J$32,DATE($K$4,$M$4,AM$7)) &gt;=1),"○",""),"")</f>
        <v>#VALUE!</v>
      </c>
      <c r="AN8" s="212" t="e">
        <f>IF(AN7&lt;&gt;"",IF(OR(WEEKDAY(DATE($K$4,$M$4,AN$7),2)&gt;6,COUNTIF('休日情報(要更新)'!$A$5:$J$32,DATE($K$4,$M$4,AN$7)) &gt;=1),"○",""),"")</f>
        <v>#VALUE!</v>
      </c>
      <c r="AO8" s="212" t="str">
        <f>IF(AO7&lt;&gt;"",IF(OR(WEEKDAY(DATE($K$4,$M$4,AO$7),2)&gt;6,COUNTIF('休日情報(要更新)'!$A$5:$J$32,DATE($K$4,$M$4,AO$7)) &gt;=1),"○",""),"")</f>
        <v/>
      </c>
    </row>
    <row r="9" spans="1:41" ht="20.100000000000001" customHeight="1">
      <c r="A9" s="1151"/>
      <c r="B9" s="701">
        <v>5</v>
      </c>
      <c r="C9" s="702" t="str">
        <f>IF(ISERROR(HLOOKUP($B9,$K$6:$AO$7,2,FALSE)),"無",HLOOKUP($B9,$K$6:$AO$7,2,FALSE))</f>
        <v>無</v>
      </c>
      <c r="D9" s="703" t="str">
        <f>IF(C9="無","×",IF(HLOOKUP($B9,$K$6:$AO$8,3,FALSE)="○","祝日",IF($A9="○","特例","平日")))</f>
        <v>×</v>
      </c>
      <c r="E9" s="363"/>
      <c r="F9" s="689" t="str">
        <f t="shared" si="1"/>
        <v/>
      </c>
      <c r="G9" s="685"/>
      <c r="H9" s="686"/>
      <c r="K9" s="252"/>
    </row>
    <row r="10" spans="1:41" ht="20.100000000000001" customHeight="1">
      <c r="A10" s="1840" t="s">
        <v>15</v>
      </c>
      <c r="B10" s="1841"/>
      <c r="C10" s="1841"/>
      <c r="D10" s="690">
        <f>COUNTIF(D5:D9,"平日")+COUNTIF(D5:D9,"特例")</f>
        <v>0</v>
      </c>
      <c r="E10" s="692"/>
      <c r="F10" s="690">
        <f>COUNTIF(F5:F9,"○")</f>
        <v>0</v>
      </c>
      <c r="G10" s="685"/>
      <c r="H10" s="686"/>
      <c r="K10" s="252"/>
    </row>
    <row r="11" spans="1:41" ht="20.100000000000001" customHeight="1" thickBot="1">
      <c r="A11" s="682"/>
      <c r="B11" s="693" t="s">
        <v>581</v>
      </c>
      <c r="C11" s="693" t="str">
        <f>IF(F10=D10,"全て",IF(F10&gt;=3,"3日以上",IF(F10=2,"2日",IF(F10=1,"1日","×"))))</f>
        <v>全て</v>
      </c>
      <c r="D11" s="691"/>
      <c r="E11" s="694"/>
      <c r="F11" s="691"/>
      <c r="G11" s="685"/>
      <c r="H11" s="686"/>
      <c r="K11" s="252"/>
    </row>
    <row r="12" spans="1:41" ht="20.100000000000001" customHeight="1" thickTop="1" thickBot="1">
      <c r="A12" s="682"/>
      <c r="B12" s="512"/>
      <c r="C12" s="512"/>
      <c r="D12" s="512"/>
      <c r="E12" s="512"/>
      <c r="F12" s="512"/>
      <c r="G12" s="685"/>
      <c r="H12" s="686"/>
      <c r="K12" s="365" t="e">
        <f>YEAR(DATE($K$4,$M$4,1)-1)</f>
        <v>#VALUE!</v>
      </c>
      <c r="L12" s="366" t="s">
        <v>11</v>
      </c>
      <c r="M12" s="366" t="e">
        <f>MONTH(DATE($K$4,$M$4,1)-1)</f>
        <v>#VALUE!</v>
      </c>
      <c r="N12" s="367" t="s">
        <v>185</v>
      </c>
    </row>
    <row r="13" spans="1:41" ht="20.100000000000001" customHeight="1">
      <c r="A13" s="682" t="s">
        <v>574</v>
      </c>
      <c r="B13" s="512"/>
      <c r="C13" s="683" t="e">
        <f>C3-1</f>
        <v>#VALUE!</v>
      </c>
      <c r="D13" s="512"/>
      <c r="E13" s="512"/>
      <c r="F13" s="512"/>
      <c r="G13" s="685"/>
      <c r="H13" s="686"/>
      <c r="J13" s="184" t="s">
        <v>578</v>
      </c>
      <c r="K13" s="368" t="e">
        <f>IF(K15&lt;&gt;"",IF(WEEKDAY(DATE($K$12,$M$12,K$15))=7,1,0),0)</f>
        <v>#VALUE!</v>
      </c>
      <c r="L13" s="368" t="e">
        <f t="shared" ref="L13:AO13" si="2">IF(L15&lt;&gt;"",IF(WEEKDAY(DATE($K$12,$M$12,L$15))=7,1,0),0)</f>
        <v>#VALUE!</v>
      </c>
      <c r="M13" s="368" t="e">
        <f t="shared" si="2"/>
        <v>#VALUE!</v>
      </c>
      <c r="N13" s="368" t="e">
        <f t="shared" si="2"/>
        <v>#VALUE!</v>
      </c>
      <c r="O13" s="368" t="e">
        <f t="shared" si="2"/>
        <v>#VALUE!</v>
      </c>
      <c r="P13" s="368" t="e">
        <f t="shared" si="2"/>
        <v>#VALUE!</v>
      </c>
      <c r="Q13" s="368" t="e">
        <f t="shared" si="2"/>
        <v>#VALUE!</v>
      </c>
      <c r="R13" s="368" t="e">
        <f t="shared" si="2"/>
        <v>#VALUE!</v>
      </c>
      <c r="S13" s="368" t="e">
        <f t="shared" si="2"/>
        <v>#VALUE!</v>
      </c>
      <c r="T13" s="368" t="e">
        <f t="shared" si="2"/>
        <v>#VALUE!</v>
      </c>
      <c r="U13" s="368" t="e">
        <f t="shared" si="2"/>
        <v>#VALUE!</v>
      </c>
      <c r="V13" s="368" t="e">
        <f t="shared" si="2"/>
        <v>#VALUE!</v>
      </c>
      <c r="W13" s="368" t="e">
        <f t="shared" si="2"/>
        <v>#VALUE!</v>
      </c>
      <c r="X13" s="368" t="e">
        <f t="shared" si="2"/>
        <v>#VALUE!</v>
      </c>
      <c r="Y13" s="368" t="e">
        <f t="shared" si="2"/>
        <v>#VALUE!</v>
      </c>
      <c r="Z13" s="368" t="e">
        <f t="shared" si="2"/>
        <v>#VALUE!</v>
      </c>
      <c r="AA13" s="368" t="e">
        <f t="shared" si="2"/>
        <v>#VALUE!</v>
      </c>
      <c r="AB13" s="368" t="e">
        <f t="shared" si="2"/>
        <v>#VALUE!</v>
      </c>
      <c r="AC13" s="368" t="e">
        <f t="shared" si="2"/>
        <v>#VALUE!</v>
      </c>
      <c r="AD13" s="368" t="e">
        <f t="shared" si="2"/>
        <v>#VALUE!</v>
      </c>
      <c r="AE13" s="368" t="e">
        <f t="shared" si="2"/>
        <v>#VALUE!</v>
      </c>
      <c r="AF13" s="368" t="e">
        <f t="shared" si="2"/>
        <v>#VALUE!</v>
      </c>
      <c r="AG13" s="368" t="e">
        <f t="shared" si="2"/>
        <v>#VALUE!</v>
      </c>
      <c r="AH13" s="368" t="e">
        <f t="shared" si="2"/>
        <v>#VALUE!</v>
      </c>
      <c r="AI13" s="368" t="e">
        <f t="shared" si="2"/>
        <v>#VALUE!</v>
      </c>
      <c r="AJ13" s="368" t="e">
        <f t="shared" si="2"/>
        <v>#VALUE!</v>
      </c>
      <c r="AK13" s="368" t="e">
        <f t="shared" si="2"/>
        <v>#VALUE!</v>
      </c>
      <c r="AL13" s="368" t="e">
        <f t="shared" si="2"/>
        <v>#VALUE!</v>
      </c>
      <c r="AM13" s="368" t="e">
        <f t="shared" si="2"/>
        <v>#VALUE!</v>
      </c>
      <c r="AN13" s="368" t="e">
        <f t="shared" si="2"/>
        <v>#VALUE!</v>
      </c>
      <c r="AO13" s="368" t="e">
        <f t="shared" si="2"/>
        <v>#VALUE!</v>
      </c>
    </row>
    <row r="14" spans="1:41" ht="20.100000000000001" customHeight="1">
      <c r="A14" s="706"/>
      <c r="B14" s="707" t="s">
        <v>571</v>
      </c>
      <c r="C14" s="707" t="s">
        <v>576</v>
      </c>
      <c r="D14" s="708" t="s">
        <v>572</v>
      </c>
      <c r="E14" s="709" t="s">
        <v>573</v>
      </c>
      <c r="F14" s="708" t="s">
        <v>580</v>
      </c>
      <c r="G14" s="709" t="s">
        <v>579</v>
      </c>
      <c r="H14" s="708" t="s">
        <v>703</v>
      </c>
      <c r="J14" s="184" t="s">
        <v>577</v>
      </c>
      <c r="K14" s="369" t="e">
        <f>IF(K13&lt;&gt;1,0,COUNTIF($K$13:K13,1))</f>
        <v>#VALUE!</v>
      </c>
      <c r="L14" s="369" t="e">
        <f>IF(L13&lt;&gt;1,0,COUNTIF($K$13:L13,1))</f>
        <v>#VALUE!</v>
      </c>
      <c r="M14" s="369" t="e">
        <f>IF(M13&lt;&gt;1,0,COUNTIF($K$13:M13,1))</f>
        <v>#VALUE!</v>
      </c>
      <c r="N14" s="369" t="e">
        <f>IF(N13&lt;&gt;1,0,COUNTIF($K$13:N13,1))</f>
        <v>#VALUE!</v>
      </c>
      <c r="O14" s="369" t="e">
        <f>IF(O13&lt;&gt;1,0,COUNTIF($K$13:O13,1))</f>
        <v>#VALUE!</v>
      </c>
      <c r="P14" s="369" t="e">
        <f>IF(P13&lt;&gt;1,0,COUNTIF($K$13:P13,1))</f>
        <v>#VALUE!</v>
      </c>
      <c r="Q14" s="369" t="e">
        <f>IF(Q13&lt;&gt;1,0,COUNTIF($K$13:Q13,1))</f>
        <v>#VALUE!</v>
      </c>
      <c r="R14" s="369" t="e">
        <f>IF(R13&lt;&gt;1,0,COUNTIF($K$13:R13,1))</f>
        <v>#VALUE!</v>
      </c>
      <c r="S14" s="369" t="e">
        <f>IF(S13&lt;&gt;1,0,COUNTIF($K$13:S13,1))</f>
        <v>#VALUE!</v>
      </c>
      <c r="T14" s="369" t="e">
        <f>IF(T13&lt;&gt;1,0,COUNTIF($K$13:T13,1))</f>
        <v>#VALUE!</v>
      </c>
      <c r="U14" s="369" t="e">
        <f>IF(U13&lt;&gt;1,0,COUNTIF($K$13:U13,1))</f>
        <v>#VALUE!</v>
      </c>
      <c r="V14" s="369" t="e">
        <f>IF(V13&lt;&gt;1,0,COUNTIF($K$13:V13,1))</f>
        <v>#VALUE!</v>
      </c>
      <c r="W14" s="369" t="e">
        <f>IF(W13&lt;&gt;1,0,COUNTIF($K$13:W13,1))</f>
        <v>#VALUE!</v>
      </c>
      <c r="X14" s="369" t="e">
        <f>IF(X13&lt;&gt;1,0,COUNTIF($K$13:X13,1))</f>
        <v>#VALUE!</v>
      </c>
      <c r="Y14" s="369" t="e">
        <f>IF(Y13&lt;&gt;1,0,COUNTIF($K$13:Y13,1))</f>
        <v>#VALUE!</v>
      </c>
      <c r="Z14" s="369" t="e">
        <f>IF(Z13&lt;&gt;1,0,COUNTIF($K$13:Z13,1))</f>
        <v>#VALUE!</v>
      </c>
      <c r="AA14" s="369" t="e">
        <f>IF(AA13&lt;&gt;1,0,COUNTIF($K$13:AA13,1))</f>
        <v>#VALUE!</v>
      </c>
      <c r="AB14" s="369" t="e">
        <f>IF(AB13&lt;&gt;1,0,COUNTIF($K$13:AB13,1))</f>
        <v>#VALUE!</v>
      </c>
      <c r="AC14" s="369" t="e">
        <f>IF(AC13&lt;&gt;1,0,COUNTIF($K$13:AC13,1))</f>
        <v>#VALUE!</v>
      </c>
      <c r="AD14" s="369" t="e">
        <f>IF(AD13&lt;&gt;1,0,COUNTIF($K$13:AD13,1))</f>
        <v>#VALUE!</v>
      </c>
      <c r="AE14" s="369" t="e">
        <f>IF(AE13&lt;&gt;1,0,COUNTIF($K$13:AE13,1))</f>
        <v>#VALUE!</v>
      </c>
      <c r="AF14" s="369" t="e">
        <f>IF(AF13&lt;&gt;1,0,COUNTIF($K$13:AF13,1))</f>
        <v>#VALUE!</v>
      </c>
      <c r="AG14" s="369" t="e">
        <f>IF(AG13&lt;&gt;1,0,COUNTIF($K$13:AG13,1))</f>
        <v>#VALUE!</v>
      </c>
      <c r="AH14" s="369" t="e">
        <f>IF(AH13&lt;&gt;1,0,COUNTIF($K$13:AH13,1))</f>
        <v>#VALUE!</v>
      </c>
      <c r="AI14" s="369" t="e">
        <f>IF(AI13&lt;&gt;1,0,COUNTIF($K$13:AI13,1))</f>
        <v>#VALUE!</v>
      </c>
      <c r="AJ14" s="369" t="e">
        <f>IF(AJ13&lt;&gt;1,0,COUNTIF($K$13:AJ13,1))</f>
        <v>#VALUE!</v>
      </c>
      <c r="AK14" s="369" t="e">
        <f>IF(AK13&lt;&gt;1,0,COUNTIF($K$13:AK13,1))</f>
        <v>#VALUE!</v>
      </c>
      <c r="AL14" s="369" t="e">
        <f>IF(AL13&lt;&gt;1,0,COUNTIF($K$13:AL13,1))</f>
        <v>#VALUE!</v>
      </c>
      <c r="AM14" s="369" t="e">
        <f>IF(AM13&lt;&gt;1,0,COUNTIF($K$13:AM13,1))</f>
        <v>#VALUE!</v>
      </c>
      <c r="AN14" s="369" t="e">
        <f>IF(AN13&lt;&gt;1,0,COUNTIF($K$13:AN13,1))</f>
        <v>#VALUE!</v>
      </c>
      <c r="AO14" s="369" t="e">
        <f>IF(AO13&lt;&gt;1,0,COUNTIF($K$13:AO13,1))</f>
        <v>#VALUE!</v>
      </c>
    </row>
    <row r="15" spans="1:41" ht="20.100000000000001" customHeight="1">
      <c r="A15" s="1149"/>
      <c r="B15" s="695">
        <v>1</v>
      </c>
      <c r="C15" s="696" t="e">
        <f>HLOOKUP($B15,$K$14:$AO$15,2,FALSE)</f>
        <v>#N/A</v>
      </c>
      <c r="D15" s="697" t="e">
        <f>IF(C15="無","×",IF(HLOOKUP($B15,$K$14:$AO$16,3,FALSE)="○","祝日",IF($A15="○","特例","平日")))</f>
        <v>#N/A</v>
      </c>
      <c r="E15" s="361"/>
      <c r="F15" s="687" t="e">
        <f>IF(AND($D15="平日",OR($E15=0,ISTEXT($E15))),"○",IF(AND($D15&lt;&gt;"平日",E15&gt;0),"エラー",""))</f>
        <v>#N/A</v>
      </c>
      <c r="G15" s="361"/>
      <c r="H15" s="687" t="e">
        <f>IF(AND($D15="平日",OR($G15=0,ISTEXT($G15))),"○",IF(AND($D15&lt;&gt;"平日",$G15&gt;0),"エラー",""))</f>
        <v>#N/A</v>
      </c>
      <c r="J15" s="184" t="s">
        <v>576</v>
      </c>
      <c r="K15" s="370">
        <v>1</v>
      </c>
      <c r="L15" s="370">
        <v>2</v>
      </c>
      <c r="M15" s="370">
        <v>3</v>
      </c>
      <c r="N15" s="370">
        <v>4</v>
      </c>
      <c r="O15" s="370">
        <v>5</v>
      </c>
      <c r="P15" s="370">
        <v>6</v>
      </c>
      <c r="Q15" s="370">
        <v>7</v>
      </c>
      <c r="R15" s="370">
        <v>8</v>
      </c>
      <c r="S15" s="370">
        <v>9</v>
      </c>
      <c r="T15" s="370">
        <v>10</v>
      </c>
      <c r="U15" s="370">
        <v>11</v>
      </c>
      <c r="V15" s="370">
        <v>12</v>
      </c>
      <c r="W15" s="370">
        <v>13</v>
      </c>
      <c r="X15" s="370">
        <v>14</v>
      </c>
      <c r="Y15" s="370">
        <v>15</v>
      </c>
      <c r="Z15" s="370">
        <v>16</v>
      </c>
      <c r="AA15" s="370">
        <v>17</v>
      </c>
      <c r="AB15" s="370">
        <v>18</v>
      </c>
      <c r="AC15" s="370">
        <v>19</v>
      </c>
      <c r="AD15" s="370">
        <v>20</v>
      </c>
      <c r="AE15" s="370">
        <v>21</v>
      </c>
      <c r="AF15" s="370">
        <v>22</v>
      </c>
      <c r="AG15" s="370">
        <v>23</v>
      </c>
      <c r="AH15" s="370">
        <v>24</v>
      </c>
      <c r="AI15" s="370">
        <v>25</v>
      </c>
      <c r="AJ15" s="370">
        <v>26</v>
      </c>
      <c r="AK15" s="370">
        <v>27</v>
      </c>
      <c r="AL15" s="370">
        <v>28</v>
      </c>
      <c r="AM15" s="370" t="e">
        <f>IF(MONTH(DATE(K12,M12,AL15+1))=M12,AL15+1,"")</f>
        <v>#VALUE!</v>
      </c>
      <c r="AN15" s="370" t="e">
        <f>IF(M12&lt;&gt;2,IF(AM15&lt;&gt;"",AM15+1,""),"")</f>
        <v>#VALUE!</v>
      </c>
      <c r="AO15" s="370" t="e">
        <f>IF(OR(M12=1,M12=3,M12=5,M12=7,M12=8,M12=10,M12=12),AN15+1,"")</f>
        <v>#VALUE!</v>
      </c>
    </row>
    <row r="16" spans="1:41" ht="20.100000000000001" customHeight="1">
      <c r="A16" s="1150"/>
      <c r="B16" s="698">
        <v>2</v>
      </c>
      <c r="C16" s="699" t="e">
        <f>HLOOKUP($B16,$K$14:$AO$15,2,FALSE)</f>
        <v>#N/A</v>
      </c>
      <c r="D16" s="700" t="e">
        <f>IF(C16="無","×",IF(HLOOKUP($B16,$K$14:$AO$16,3,FALSE)="○","祝日",IF($A16="○","特例","平日")))</f>
        <v>#N/A</v>
      </c>
      <c r="E16" s="362"/>
      <c r="F16" s="688" t="e">
        <f t="shared" ref="F16:F19" si="3">IF(AND($D16="平日",OR($E16=0,ISTEXT($E16))),"○",IF(AND($D16&lt;&gt;"平日",E16&gt;0),"エラー",""))</f>
        <v>#N/A</v>
      </c>
      <c r="G16" s="362"/>
      <c r="H16" s="688" t="e">
        <f t="shared" ref="H16:H19" si="4">IF(AND($D16="平日",OR($G16=0,ISTEXT($G16))),"○",IF(AND($D16&lt;&gt;"平日",$G16&gt;0),"エラー",""))</f>
        <v>#N/A</v>
      </c>
      <c r="J16" s="371" t="s">
        <v>575</v>
      </c>
      <c r="K16" s="212" t="e">
        <f>IF(K15&lt;&gt;"",IF(OR(WEEKDAY(DATE($K$12,$M$12,K$15),2)&gt;6,COUNTIF('休日情報(要更新)'!$A$5:$J$32,DATE($K$12,$M$12,K$15)) &gt;=1),"○",""),"")</f>
        <v>#VALUE!</v>
      </c>
      <c r="L16" s="212" t="e">
        <f>IF(L15&lt;&gt;"",IF(OR(WEEKDAY(DATE($K$12,$M$12,L$15),2)&gt;6,COUNTIF('休日情報(要更新)'!$A$5:$J$32,DATE($K$12,$M$12,L$15)) &gt;=1),"○",""),"")</f>
        <v>#VALUE!</v>
      </c>
      <c r="M16" s="212" t="e">
        <f>IF(M15&lt;&gt;"",IF(OR(WEEKDAY(DATE($K$12,$M$12,M$15),2)&gt;6,COUNTIF('休日情報(要更新)'!$A$5:$J$32,DATE($K$12,$M$12,M$15)) &gt;=1),"○",""),"")</f>
        <v>#VALUE!</v>
      </c>
      <c r="N16" s="212" t="e">
        <f>IF(N15&lt;&gt;"",IF(OR(WEEKDAY(DATE($K$12,$M$12,N$15),2)&gt;6,COUNTIF('休日情報(要更新)'!$A$5:$J$32,DATE($K$12,$M$12,N$15)) &gt;=1),"○",""),"")</f>
        <v>#VALUE!</v>
      </c>
      <c r="O16" s="212" t="e">
        <f>IF(O15&lt;&gt;"",IF(OR(WEEKDAY(DATE($K$12,$M$12,O$15),2)&gt;6,COUNTIF('休日情報(要更新)'!$A$5:$J$32,DATE($K$12,$M$12,O$15)) &gt;=1),"○",""),"")</f>
        <v>#VALUE!</v>
      </c>
      <c r="P16" s="212" t="e">
        <f>IF(P15&lt;&gt;"",IF(OR(WEEKDAY(DATE($K$12,$M$12,P$15),2)&gt;6,COUNTIF('休日情報(要更新)'!$A$5:$J$32,DATE($K$12,$M$12,P$15)) &gt;=1),"○",""),"")</f>
        <v>#VALUE!</v>
      </c>
      <c r="Q16" s="212" t="e">
        <f>IF(Q15&lt;&gt;"",IF(OR(WEEKDAY(DATE($K$12,$M$12,Q$15),2)&gt;6,COUNTIF('休日情報(要更新)'!$A$5:$J$32,DATE($K$12,$M$12,Q$15)) &gt;=1),"○",""),"")</f>
        <v>#VALUE!</v>
      </c>
      <c r="R16" s="212" t="e">
        <f>IF(R15&lt;&gt;"",IF(OR(WEEKDAY(DATE($K$12,$M$12,R$15),2)&gt;6,COUNTIF('休日情報(要更新)'!$A$5:$J$32,DATE($K$12,$M$12,R$15)) &gt;=1),"○",""),"")</f>
        <v>#VALUE!</v>
      </c>
      <c r="S16" s="212" t="e">
        <f>IF(S15&lt;&gt;"",IF(OR(WEEKDAY(DATE($K$12,$M$12,S$15),2)&gt;6,COUNTIF('休日情報(要更新)'!$A$5:$J$32,DATE($K$12,$M$12,S$15)) &gt;=1),"○",""),"")</f>
        <v>#VALUE!</v>
      </c>
      <c r="T16" s="212" t="e">
        <f>IF(T15&lt;&gt;"",IF(OR(WEEKDAY(DATE($K$12,$M$12,T$15),2)&gt;6,COUNTIF('休日情報(要更新)'!$A$5:$J$32,DATE($K$12,$M$12,T$15)) &gt;=1),"○",""),"")</f>
        <v>#VALUE!</v>
      </c>
      <c r="U16" s="212" t="e">
        <f>IF(U15&lt;&gt;"",IF(OR(WEEKDAY(DATE($K$12,$M$12,U$15),2)&gt;6,COUNTIF('休日情報(要更新)'!$A$5:$J$32,DATE($K$12,$M$12,U$15)) &gt;=1),"○",""),"")</f>
        <v>#VALUE!</v>
      </c>
      <c r="V16" s="212" t="e">
        <f>IF(V15&lt;&gt;"",IF(OR(WEEKDAY(DATE($K$12,$M$12,V$15),2)&gt;6,COUNTIF('休日情報(要更新)'!$A$5:$J$32,DATE($K$12,$M$12,V$15)) &gt;=1),"○",""),"")</f>
        <v>#VALUE!</v>
      </c>
      <c r="W16" s="212" t="e">
        <f>IF(W15&lt;&gt;"",IF(OR(WEEKDAY(DATE($K$12,$M$12,W$15),2)&gt;6,COUNTIF('休日情報(要更新)'!$A$5:$J$32,DATE($K$12,$M$12,W$15)) &gt;=1),"○",""),"")</f>
        <v>#VALUE!</v>
      </c>
      <c r="X16" s="212" t="e">
        <f>IF(X15&lt;&gt;"",IF(OR(WEEKDAY(DATE($K$12,$M$12,X$15),2)&gt;6,COUNTIF('休日情報(要更新)'!$A$5:$J$32,DATE($K$12,$M$12,X$15)) &gt;=1),"○",""),"")</f>
        <v>#VALUE!</v>
      </c>
      <c r="Y16" s="212" t="e">
        <f>IF(Y15&lt;&gt;"",IF(OR(WEEKDAY(DATE($K$12,$M$12,Y$15),2)&gt;6,COUNTIF('休日情報(要更新)'!$A$5:$J$32,DATE($K$12,$M$12,Y$15)) &gt;=1),"○",""),"")</f>
        <v>#VALUE!</v>
      </c>
      <c r="Z16" s="212" t="e">
        <f>IF(Z15&lt;&gt;"",IF(OR(WEEKDAY(DATE($K$12,$M$12,Z$15),2)&gt;6,COUNTIF('休日情報(要更新)'!$A$5:$J$32,DATE($K$12,$M$12,Z$15)) &gt;=1),"○",""),"")</f>
        <v>#VALUE!</v>
      </c>
      <c r="AA16" s="212" t="e">
        <f>IF(AA15&lt;&gt;"",IF(OR(WEEKDAY(DATE($K$12,$M$12,AA$15),2)&gt;6,COUNTIF('休日情報(要更新)'!$A$5:$J$32,DATE($K$12,$M$12,AA$15)) &gt;=1),"○",""),"")</f>
        <v>#VALUE!</v>
      </c>
      <c r="AB16" s="212" t="e">
        <f>IF(AB15&lt;&gt;"",IF(OR(WEEKDAY(DATE($K$12,$M$12,AB$15),2)&gt;6,COUNTIF('休日情報(要更新)'!$A$5:$J$32,DATE($K$12,$M$12,AB$15)) &gt;=1),"○",""),"")</f>
        <v>#VALUE!</v>
      </c>
      <c r="AC16" s="212" t="e">
        <f>IF(AC15&lt;&gt;"",IF(OR(WEEKDAY(DATE($K$12,$M$12,AC$15),2)&gt;6,COUNTIF('休日情報(要更新)'!$A$5:$J$32,DATE($K$12,$M$12,AC$15)) &gt;=1),"○",""),"")</f>
        <v>#VALUE!</v>
      </c>
      <c r="AD16" s="212" t="e">
        <f>IF(AD15&lt;&gt;"",IF(OR(WEEKDAY(DATE($K$12,$M$12,AD$15),2)&gt;6,COUNTIF('休日情報(要更新)'!$A$5:$J$32,DATE($K$12,$M$12,AD$15)) &gt;=1),"○",""),"")</f>
        <v>#VALUE!</v>
      </c>
      <c r="AE16" s="212" t="e">
        <f>IF(AE15&lt;&gt;"",IF(OR(WEEKDAY(DATE($K$12,$M$12,AE$15),2)&gt;6,COUNTIF('休日情報(要更新)'!$A$5:$J$32,DATE($K$12,$M$12,AE$15)) &gt;=1),"○",""),"")</f>
        <v>#VALUE!</v>
      </c>
      <c r="AF16" s="212" t="e">
        <f>IF(AF15&lt;&gt;"",IF(OR(WEEKDAY(DATE($K$12,$M$12,AF$15),2)&gt;6,COUNTIF('休日情報(要更新)'!$A$5:$J$32,DATE($K$12,$M$12,AF$15)) &gt;=1),"○",""),"")</f>
        <v>#VALUE!</v>
      </c>
      <c r="AG16" s="212" t="e">
        <f>IF(AG15&lt;&gt;"",IF(OR(WEEKDAY(DATE($K$12,$M$12,AG$15),2)&gt;6,COUNTIF('休日情報(要更新)'!$A$5:$J$32,DATE($K$12,$M$12,AG$15)) &gt;=1),"○",""),"")</f>
        <v>#VALUE!</v>
      </c>
      <c r="AH16" s="212" t="e">
        <f>IF(AH15&lt;&gt;"",IF(OR(WEEKDAY(DATE($K$12,$M$12,AH$15),2)&gt;6,COUNTIF('休日情報(要更新)'!$A$5:$J$32,DATE($K$12,$M$12,AH$15)) &gt;=1),"○",""),"")</f>
        <v>#VALUE!</v>
      </c>
      <c r="AI16" s="212" t="e">
        <f>IF(AI15&lt;&gt;"",IF(OR(WEEKDAY(DATE($K$12,$M$12,AI$15),2)&gt;6,COUNTIF('休日情報(要更新)'!$A$5:$J$32,DATE($K$12,$M$12,AI$15)) &gt;=1),"○",""),"")</f>
        <v>#VALUE!</v>
      </c>
      <c r="AJ16" s="212" t="e">
        <f>IF(AJ15&lt;&gt;"",IF(OR(WEEKDAY(DATE($K$12,$M$12,AJ$15),2)&gt;6,COUNTIF('休日情報(要更新)'!$A$5:$J$32,DATE($K$12,$M$12,AJ$15)) &gt;=1),"○",""),"")</f>
        <v>#VALUE!</v>
      </c>
      <c r="AK16" s="212" t="e">
        <f>IF(AK15&lt;&gt;"",IF(OR(WEEKDAY(DATE($K$12,$M$12,AK$15),2)&gt;6,COUNTIF('休日情報(要更新)'!$A$5:$J$32,DATE($K$12,$M$12,AK$15)) &gt;=1),"○",""),"")</f>
        <v>#VALUE!</v>
      </c>
      <c r="AL16" s="212" t="e">
        <f>IF(AL15&lt;&gt;"",IF(OR(WEEKDAY(DATE($K$12,$M$12,AL$15),2)&gt;6,COUNTIF('休日情報(要更新)'!$A$5:$J$32,DATE($K$12,$M$12,AL$15)) &gt;=1),"○",""),"")</f>
        <v>#VALUE!</v>
      </c>
      <c r="AM16" s="212" t="e">
        <f>IF(AM15&lt;&gt;"",IF(OR(WEEKDAY(DATE($K$12,$M$12,AM$15),2)&gt;6,COUNTIF('休日情報(要更新)'!$A$5:$J$32,DATE($K$12,$M$12,AM$15)) &gt;=1),"○",""),"")</f>
        <v>#VALUE!</v>
      </c>
      <c r="AN16" s="212" t="e">
        <f>IF(AN15&lt;&gt;"",IF(OR(WEEKDAY(DATE($K$12,$M$12,AN$15),2)&gt;6,COUNTIF('休日情報(要更新)'!$A$5:$J$32,DATE($K$12,$M$12,AN$15)) &gt;=1),"○",""),"")</f>
        <v>#VALUE!</v>
      </c>
      <c r="AO16" s="212" t="e">
        <f>IF(AO15&lt;&gt;"",IF(OR(WEEKDAY(DATE($K$12,$M$12,AO$15),2)&gt;6,COUNTIF('休日情報(要更新)'!$A$5:$J$32,DATE($K$12,$M$12,AO$15)) &gt;=1),"○",""),"")</f>
        <v>#VALUE!</v>
      </c>
    </row>
    <row r="17" spans="1:11" ht="20.100000000000001" customHeight="1">
      <c r="A17" s="1150"/>
      <c r="B17" s="698">
        <v>3</v>
      </c>
      <c r="C17" s="699" t="e">
        <f>HLOOKUP($B17,$K$14:$AO$15,2,FALSE)</f>
        <v>#N/A</v>
      </c>
      <c r="D17" s="700" t="e">
        <f>IF(C17="無","×",IF(HLOOKUP($B17,$K$14:$AO$16,3,FALSE)="○","祝日",IF($A17="○","特例","平日")))</f>
        <v>#N/A</v>
      </c>
      <c r="E17" s="362"/>
      <c r="F17" s="688" t="e">
        <f t="shared" si="3"/>
        <v>#N/A</v>
      </c>
      <c r="G17" s="362"/>
      <c r="H17" s="688" t="e">
        <f t="shared" si="4"/>
        <v>#N/A</v>
      </c>
      <c r="K17" s="252"/>
    </row>
    <row r="18" spans="1:11" ht="20.100000000000001" customHeight="1">
      <c r="A18" s="1150"/>
      <c r="B18" s="698">
        <v>4</v>
      </c>
      <c r="C18" s="699" t="e">
        <f>HLOOKUP($B18,$K$14:$AO$15,2,FALSE)</f>
        <v>#N/A</v>
      </c>
      <c r="D18" s="700" t="e">
        <f>IF(C18="無","×",IF(HLOOKUP($B18,$K$14:$AO$16,3,FALSE)="○","祝日",IF($A18="○","特例","平日")))</f>
        <v>#N/A</v>
      </c>
      <c r="E18" s="362"/>
      <c r="F18" s="688" t="e">
        <f t="shared" si="3"/>
        <v>#N/A</v>
      </c>
      <c r="G18" s="362"/>
      <c r="H18" s="688" t="e">
        <f t="shared" si="4"/>
        <v>#N/A</v>
      </c>
      <c r="K18" s="252"/>
    </row>
    <row r="19" spans="1:11" ht="20.100000000000001" customHeight="1">
      <c r="A19" s="1151"/>
      <c r="B19" s="701">
        <v>5</v>
      </c>
      <c r="C19" s="702" t="str">
        <f>IF(ISERROR(HLOOKUP($B19,$K$14:$AO$15,2,FALSE)),"無",HLOOKUP($B19,$K$14:$AO$15,2,FALSE))</f>
        <v>無</v>
      </c>
      <c r="D19" s="703" t="str">
        <f>IF(C19="無","×",IF(HLOOKUP($B19,$K$14:$AO$16,3,FALSE)="○","祝日",IF($A19="○","特例","平日")))</f>
        <v>×</v>
      </c>
      <c r="E19" s="363"/>
      <c r="F19" s="689" t="str">
        <f t="shared" si="3"/>
        <v/>
      </c>
      <c r="G19" s="363"/>
      <c r="H19" s="689" t="str">
        <f t="shared" si="4"/>
        <v/>
      </c>
      <c r="K19" s="252"/>
    </row>
    <row r="20" spans="1:11" ht="20.100000000000001" customHeight="1">
      <c r="A20" s="1608" t="s">
        <v>15</v>
      </c>
      <c r="B20" s="1660"/>
      <c r="C20" s="1660"/>
      <c r="D20" s="690">
        <f>COUNTIF(D15:D19,"平日")+COUNTIF(D15:D19,"特例")</f>
        <v>0</v>
      </c>
      <c r="E20" s="692"/>
      <c r="F20" s="690">
        <f>COUNTIF(F15:F19,"○")</f>
        <v>0</v>
      </c>
      <c r="G20" s="692"/>
      <c r="H20" s="690">
        <f>COUNTIF(H15:H19,"○")</f>
        <v>0</v>
      </c>
      <c r="K20" s="252"/>
    </row>
    <row r="21" spans="1:11" ht="20.100000000000001" customHeight="1">
      <c r="A21" s="682"/>
      <c r="B21" s="928"/>
      <c r="C21" s="928"/>
      <c r="D21" s="691"/>
      <c r="E21" s="694"/>
      <c r="F21" s="691"/>
      <c r="G21" s="694"/>
      <c r="H21" s="691"/>
      <c r="K21" s="252"/>
    </row>
    <row r="22" spans="1:11" ht="20.100000000000001" customHeight="1" thickBot="1">
      <c r="A22" s="682"/>
      <c r="B22" s="704" t="s">
        <v>583</v>
      </c>
      <c r="C22" s="704" t="str">
        <f>IF(F20=D20,"全て",IF(F20&gt;=3,"3日以上",IF(F20=2,"2日",IF(F20=1,"1日","×"))))</f>
        <v>全て</v>
      </c>
      <c r="D22" s="542" t="s">
        <v>582</v>
      </c>
      <c r="E22" s="704" t="s">
        <v>584</v>
      </c>
      <c r="F22" s="704" t="str">
        <f>IF(D20=H20,"全て",IF(H20&gt;=3,"3日以上",IF(H20=2,"2日",IF(H20=1,"1日","×"))))</f>
        <v>全て</v>
      </c>
      <c r="G22" s="705" t="str">
        <f>IF(J22,"(変更無)","(変更有)")</f>
        <v>(変更無)</v>
      </c>
      <c r="H22" s="686"/>
      <c r="J22" s="184" t="b">
        <f>F22=C22</f>
        <v>1</v>
      </c>
      <c r="K22" s="252"/>
    </row>
    <row r="23" spans="1:11" ht="20.100000000000001" customHeight="1" thickTop="1">
      <c r="A23" s="682"/>
      <c r="B23" s="512"/>
      <c r="C23" s="512"/>
      <c r="D23" s="512"/>
      <c r="E23" s="512"/>
      <c r="F23" s="512"/>
      <c r="G23" s="685"/>
      <c r="H23" s="686"/>
      <c r="K23" s="252"/>
    </row>
    <row r="24" spans="1:11" ht="20.100000000000001" customHeight="1">
      <c r="A24" s="512" t="s">
        <v>831</v>
      </c>
      <c r="B24" s="512"/>
      <c r="C24" s="512"/>
      <c r="D24" s="512"/>
      <c r="E24" s="512"/>
      <c r="F24" s="512"/>
      <c r="G24" s="685"/>
      <c r="H24" s="686"/>
      <c r="K24" s="252"/>
    </row>
    <row r="25" spans="1:11" ht="20.100000000000001" customHeight="1">
      <c r="A25" s="1839" t="s">
        <v>702</v>
      </c>
      <c r="B25" s="1839"/>
      <c r="C25" s="1839"/>
      <c r="D25" s="1839"/>
      <c r="E25" s="1839"/>
      <c r="F25" s="1839"/>
      <c r="G25" s="1839"/>
      <c r="H25" s="1839"/>
    </row>
    <row r="26" spans="1:11" ht="20.100000000000001" customHeight="1">
      <c r="A26" s="1839"/>
      <c r="B26" s="1839"/>
      <c r="C26" s="1839"/>
      <c r="D26" s="1839"/>
      <c r="E26" s="1839"/>
      <c r="F26" s="1839"/>
      <c r="G26" s="1839"/>
      <c r="H26" s="1839"/>
    </row>
    <row r="27" spans="1:11" ht="20.100000000000001" customHeight="1">
      <c r="A27" s="1337" t="s">
        <v>833</v>
      </c>
      <c r="B27" s="1337"/>
      <c r="C27" s="1337"/>
      <c r="D27" s="1337"/>
      <c r="E27" s="1337"/>
      <c r="F27" s="1337"/>
      <c r="G27" s="1337"/>
      <c r="H27" s="1337"/>
    </row>
    <row r="28" spans="1:11" ht="20.100000000000001" customHeight="1">
      <c r="A28" s="1337"/>
      <c r="B28" s="1337"/>
      <c r="C28" s="1337"/>
      <c r="D28" s="1337"/>
      <c r="E28" s="1337"/>
      <c r="F28" s="1337"/>
      <c r="G28" s="1337"/>
      <c r="H28" s="1337"/>
    </row>
    <row r="29" spans="1:11" ht="20.100000000000001" customHeight="1">
      <c r="A29" s="934" t="s">
        <v>832</v>
      </c>
      <c r="B29" s="934"/>
      <c r="C29" s="934"/>
      <c r="D29" s="934"/>
      <c r="E29" s="934"/>
      <c r="F29" s="934"/>
      <c r="G29" s="934"/>
      <c r="H29" s="934"/>
    </row>
    <row r="30" spans="1:11" ht="20.100000000000001" customHeight="1">
      <c r="A30" s="1839"/>
      <c r="B30" s="1839"/>
      <c r="C30" s="1839"/>
      <c r="D30" s="1839"/>
      <c r="E30" s="1839"/>
      <c r="F30" s="1839"/>
      <c r="G30" s="1839"/>
      <c r="H30" s="1839"/>
    </row>
  </sheetData>
  <sheetProtection algorithmName="SHA-512" hashValue="4ywdEBjI9DRDp04Y0rf0lUZ5y7mUdpcNdbOWjCM6DSE466ufnq3+zQ0z5wRNXmOUtwMoTYSnuBVmlSnI8kg6YA==" saltValue="KEZLZCZIY1iG70TaW6R9Aw==" spinCount="100000" sheet="1" objects="1" scenarios="1"/>
  <mergeCells count="6">
    <mergeCell ref="A27:H28"/>
    <mergeCell ref="F1:H1"/>
    <mergeCell ref="A30:H30"/>
    <mergeCell ref="A25:H26"/>
    <mergeCell ref="A10:C10"/>
    <mergeCell ref="A20:C20"/>
  </mergeCells>
  <phoneticPr fontId="1"/>
  <conditionalFormatting sqref="E5:E9">
    <cfRule type="expression" dxfId="71" priority="11">
      <formula>$D5&lt;&gt;"平日"</formula>
    </cfRule>
  </conditionalFormatting>
  <conditionalFormatting sqref="E15:E19">
    <cfRule type="expression" dxfId="70" priority="10">
      <formula>$D15&lt;&gt;"平日"</formula>
    </cfRule>
  </conditionalFormatting>
  <conditionalFormatting sqref="K7:AO7">
    <cfRule type="expression" dxfId="69" priority="9">
      <formula>K$5="○"</formula>
    </cfRule>
  </conditionalFormatting>
  <conditionalFormatting sqref="K5:AO5">
    <cfRule type="expression" dxfId="68" priority="8">
      <formula>K$5="○"</formula>
    </cfRule>
  </conditionalFormatting>
  <conditionalFormatting sqref="K15:AO15">
    <cfRule type="expression" dxfId="67" priority="7">
      <formula>K$5="○"</formula>
    </cfRule>
  </conditionalFormatting>
  <conditionalFormatting sqref="K13:AO13">
    <cfRule type="expression" dxfId="66" priority="6">
      <formula>K$5="○"</formula>
    </cfRule>
  </conditionalFormatting>
  <conditionalFormatting sqref="G15:G19">
    <cfRule type="expression" dxfId="65" priority="5">
      <formula>$D15&lt;&gt;"平日"</formula>
    </cfRule>
  </conditionalFormatting>
  <conditionalFormatting sqref="F5:F9 F15:F19 H15:H19">
    <cfRule type="containsText" dxfId="64" priority="1" operator="containsText" text="エラー">
      <formula>NOT(ISERROR(SEARCH("エラー",F5)))</formula>
    </cfRule>
  </conditionalFormatting>
  <dataValidations count="2">
    <dataValidation type="whole" operator="greaterThanOrEqual" allowBlank="1" showInputMessage="1" showErrorMessage="1" sqref="E5:E9 E15:E19 G15:G19" xr:uid="{00000000-0002-0000-0700-000000000000}">
      <formula1>0</formula1>
    </dataValidation>
    <dataValidation type="list" showInputMessage="1" showErrorMessage="1" sqref="A5:A9 A15:A19" xr:uid="{00000000-0002-0000-0700-000001000000}">
      <formula1>$K$2:$K$3</formula1>
    </dataValidation>
  </dataValidations>
  <printOptions horizontalCentered="1"/>
  <pageMargins left="0.70866141732283472" right="0.70866141732283472" top="0.74803149606299213" bottom="0.74803149606299213" header="0.31496062992125984" footer="0.31496062992125984"/>
  <pageSetup paperSize="9" scale="74"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rgb="FF00B0F0"/>
  </sheetPr>
  <dimension ref="A1:AM56"/>
  <sheetViews>
    <sheetView view="pageBreakPreview" zoomScaleNormal="100" zoomScaleSheetLayoutView="100" workbookViewId="0">
      <selection activeCell="L7" sqref="L7:M7"/>
    </sheetView>
  </sheetViews>
  <sheetFormatPr defaultColWidth="9" defaultRowHeight="13.5" outlineLevelCol="1"/>
  <cols>
    <col min="1" max="24" width="3.375" style="374" customWidth="1"/>
    <col min="25" max="25" width="5.875" style="374" customWidth="1"/>
    <col min="26" max="27" width="3.375" style="1009" customWidth="1"/>
    <col min="28" max="28" width="52" style="374" customWidth="1"/>
    <col min="29" max="29" width="11.625" style="374" hidden="1" customWidth="1" outlineLevel="1"/>
    <col min="30" max="38" width="9" style="374" hidden="1" customWidth="1" outlineLevel="1"/>
    <col min="39" max="39" width="9" style="374" collapsed="1"/>
    <col min="40" max="16384" width="9" style="374"/>
  </cols>
  <sheetData>
    <row r="1" spans="1:38" ht="15" customHeight="1">
      <c r="A1" s="682" t="s">
        <v>1121</v>
      </c>
      <c r="B1" s="682"/>
      <c r="C1" s="682"/>
      <c r="D1" s="512"/>
      <c r="E1" s="512"/>
      <c r="F1" s="512"/>
      <c r="G1" s="512"/>
      <c r="H1" s="512"/>
      <c r="I1" s="512"/>
      <c r="J1" s="512"/>
      <c r="K1" s="512"/>
      <c r="L1" s="512"/>
      <c r="M1" s="512"/>
      <c r="N1" s="512"/>
      <c r="O1" s="512"/>
      <c r="P1" s="512"/>
      <c r="Q1" s="512"/>
      <c r="R1" s="1935" t="str">
        <f>AC2&amp;"別紙3"&amp;AC3</f>
        <v>加-23_月申-別紙3-保_Ver.2.01</v>
      </c>
      <c r="S1" s="1935"/>
      <c r="T1" s="1935"/>
      <c r="U1" s="1935"/>
      <c r="V1" s="1935"/>
      <c r="W1" s="1935"/>
      <c r="X1" s="1935"/>
      <c r="Y1" s="1935"/>
      <c r="Z1" s="1935"/>
      <c r="AA1" s="1080"/>
      <c r="AC1" s="190" t="s">
        <v>1018</v>
      </c>
      <c r="AD1" s="375" t="s">
        <v>712</v>
      </c>
      <c r="AE1" s="375" t="s">
        <v>713</v>
      </c>
      <c r="AF1" s="375" t="s">
        <v>86</v>
      </c>
      <c r="AG1" s="375" t="s">
        <v>720</v>
      </c>
      <c r="AH1" s="375" t="s">
        <v>724</v>
      </c>
      <c r="AI1" s="375" t="s">
        <v>725</v>
      </c>
      <c r="AJ1" s="998" t="s">
        <v>190</v>
      </c>
      <c r="AK1" s="375" t="s">
        <v>748</v>
      </c>
      <c r="AL1" s="375" t="s">
        <v>1179</v>
      </c>
    </row>
    <row r="2" spans="1:38" ht="15" customHeight="1">
      <c r="A2" s="1934" t="s">
        <v>1177</v>
      </c>
      <c r="B2" s="1934"/>
      <c r="C2" s="1934"/>
      <c r="D2" s="1934"/>
      <c r="E2" s="1934"/>
      <c r="F2" s="1934"/>
      <c r="G2" s="1934"/>
      <c r="H2" s="1934"/>
      <c r="I2" s="1934"/>
      <c r="J2" s="1934"/>
      <c r="K2" s="1934"/>
      <c r="L2" s="1934"/>
      <c r="M2" s="1934"/>
      <c r="N2" s="1934"/>
      <c r="O2" s="1934"/>
      <c r="P2" s="1934"/>
      <c r="Q2" s="1934"/>
      <c r="R2" s="1934"/>
      <c r="S2" s="1934"/>
      <c r="T2" s="1934"/>
      <c r="U2" s="1934"/>
      <c r="V2" s="1934"/>
      <c r="W2" s="1934"/>
      <c r="X2" s="1934"/>
      <c r="Y2" s="1934"/>
      <c r="Z2" s="1934"/>
      <c r="AA2" s="1068"/>
      <c r="AC2" s="190" t="str">
        <f>【様式１】総括表・個票!$AJ$2</f>
        <v>加-23_月申-</v>
      </c>
      <c r="AD2" s="375"/>
      <c r="AE2" s="375"/>
      <c r="AF2" s="375"/>
      <c r="AG2" s="375"/>
      <c r="AH2" s="375"/>
      <c r="AI2" s="375"/>
      <c r="AJ2" s="375"/>
      <c r="AK2" s="375"/>
      <c r="AL2" s="375"/>
    </row>
    <row r="3" spans="1:38" ht="15" customHeight="1" thickBot="1">
      <c r="A3" s="1937"/>
      <c r="B3" s="1937"/>
      <c r="C3" s="1937"/>
      <c r="D3" s="1937"/>
      <c r="E3" s="1937"/>
      <c r="F3" s="1937"/>
      <c r="G3" s="1937"/>
      <c r="H3" s="1937"/>
      <c r="I3" s="1937"/>
      <c r="J3" s="1937"/>
      <c r="K3" s="1937"/>
      <c r="L3" s="1937"/>
      <c r="M3" s="1937"/>
      <c r="N3" s="1937"/>
      <c r="O3" s="1937"/>
      <c r="P3" s="1937"/>
      <c r="Q3" s="1937"/>
      <c r="R3" s="1937"/>
      <c r="S3" s="1937"/>
      <c r="T3" s="1937"/>
      <c r="U3" s="1937"/>
      <c r="V3" s="1937"/>
      <c r="W3" s="1937"/>
      <c r="X3" s="1937"/>
      <c r="Y3" s="1937"/>
      <c r="Z3" s="1937"/>
      <c r="AA3" s="1079"/>
      <c r="AC3" s="190" t="str">
        <f>【様式１】総括表・個票!$AJ$3</f>
        <v>-保_Ver.2.01</v>
      </c>
      <c r="AD3" s="375">
        <v>0</v>
      </c>
      <c r="AE3" s="375">
        <v>0</v>
      </c>
      <c r="AF3" s="375" t="s">
        <v>733</v>
      </c>
      <c r="AG3" s="375" t="s">
        <v>721</v>
      </c>
      <c r="AH3" s="375" t="s">
        <v>726</v>
      </c>
      <c r="AI3" s="375" t="s">
        <v>730</v>
      </c>
      <c r="AJ3" s="375" t="s">
        <v>7</v>
      </c>
      <c r="AK3" s="375" t="s">
        <v>749</v>
      </c>
      <c r="AL3" s="375">
        <f>【様式１】総括表・個票!F93</f>
        <v>0</v>
      </c>
    </row>
    <row r="4" spans="1:38" ht="15" customHeight="1">
      <c r="A4" s="1941" t="s">
        <v>706</v>
      </c>
      <c r="B4" s="1942"/>
      <c r="C4" s="1942"/>
      <c r="D4" s="1942"/>
      <c r="E4" s="1942"/>
      <c r="F4" s="1942"/>
      <c r="G4" s="1942"/>
      <c r="H4" s="1942"/>
      <c r="I4" s="1942"/>
      <c r="J4" s="1942"/>
      <c r="K4" s="1942"/>
      <c r="L4" s="1942"/>
      <c r="M4" s="1942"/>
      <c r="N4" s="1942"/>
      <c r="O4" s="1942"/>
      <c r="P4" s="1942"/>
      <c r="Q4" s="1942"/>
      <c r="R4" s="1942"/>
      <c r="S4" s="1942"/>
      <c r="T4" s="1942"/>
      <c r="U4" s="1942"/>
      <c r="V4" s="1942"/>
      <c r="W4" s="1942"/>
      <c r="X4" s="1942"/>
      <c r="Y4" s="1942"/>
      <c r="Z4" s="1942"/>
      <c r="AA4" s="1943"/>
      <c r="AC4" s="999" t="s">
        <v>751</v>
      </c>
      <c r="AD4" s="378">
        <v>1</v>
      </c>
      <c r="AE4" s="375">
        <v>15</v>
      </c>
      <c r="AF4" s="375" t="s">
        <v>734</v>
      </c>
      <c r="AG4" s="375" t="s">
        <v>737</v>
      </c>
      <c r="AH4" s="375" t="s">
        <v>727</v>
      </c>
      <c r="AI4" s="375" t="s">
        <v>731</v>
      </c>
      <c r="AJ4" s="375" t="s">
        <v>8</v>
      </c>
      <c r="AK4" s="375" t="s">
        <v>750</v>
      </c>
      <c r="AL4" s="375">
        <f>【様式１】総括表・個票!H93</f>
        <v>0</v>
      </c>
    </row>
    <row r="5" spans="1:38" ht="15" customHeight="1" thickBot="1">
      <c r="A5" s="1900" t="s">
        <v>72</v>
      </c>
      <c r="B5" s="1901"/>
      <c r="C5" s="1902"/>
      <c r="D5" s="1936" t="s">
        <v>99</v>
      </c>
      <c r="E5" s="1936"/>
      <c r="F5" s="1936"/>
      <c r="G5" s="1936"/>
      <c r="H5" s="1936"/>
      <c r="I5" s="1936"/>
      <c r="J5" s="1936"/>
      <c r="K5" s="1936"/>
      <c r="L5" s="2004" t="s">
        <v>743</v>
      </c>
      <c r="M5" s="1901"/>
      <c r="N5" s="1901"/>
      <c r="O5" s="1901"/>
      <c r="P5" s="1901"/>
      <c r="Q5" s="1901"/>
      <c r="R5" s="1901"/>
      <c r="S5" s="1901"/>
      <c r="T5" s="1901"/>
      <c r="U5" s="1901"/>
      <c r="V5" s="1901"/>
      <c r="W5" s="1901"/>
      <c r="X5" s="1901"/>
      <c r="Y5" s="1901"/>
      <c r="Z5" s="1944" t="s">
        <v>92</v>
      </c>
      <c r="AA5" s="1945"/>
      <c r="AC5" s="1000" t="e">
        <f>IF(AND(AC6,AC7,AC9,AC11,AC13,AC15,AC20,AC21,AC24),"○","×")</f>
        <v>#DIV/0!</v>
      </c>
      <c r="AD5" s="378">
        <v>2</v>
      </c>
      <c r="AE5" s="375">
        <v>30</v>
      </c>
      <c r="AG5" s="375" t="s">
        <v>738</v>
      </c>
      <c r="AI5" s="375" t="s">
        <v>729</v>
      </c>
      <c r="AL5" s="375">
        <f>【様式１】総括表・個票!J93</f>
        <v>0</v>
      </c>
    </row>
    <row r="6" spans="1:38" ht="15" customHeight="1">
      <c r="A6" s="1908">
        <v>1</v>
      </c>
      <c r="B6" s="1909"/>
      <c r="C6" s="1910"/>
      <c r="D6" s="1908" t="s">
        <v>707</v>
      </c>
      <c r="E6" s="1909"/>
      <c r="F6" s="1909"/>
      <c r="G6" s="1909"/>
      <c r="H6" s="1909"/>
      <c r="I6" s="1909"/>
      <c r="J6" s="1909"/>
      <c r="K6" s="1910"/>
      <c r="L6" s="1908" t="s">
        <v>708</v>
      </c>
      <c r="M6" s="1909"/>
      <c r="N6" s="1909"/>
      <c r="O6" s="1909"/>
      <c r="P6" s="1909"/>
      <c r="Q6" s="1909"/>
      <c r="R6" s="1909"/>
      <c r="S6" s="1909"/>
      <c r="T6" s="1909"/>
      <c r="U6" s="1909"/>
      <c r="V6" s="1909"/>
      <c r="W6" s="1909"/>
      <c r="X6" s="1909"/>
      <c r="Y6" s="1909"/>
      <c r="Z6" s="1946" t="s">
        <v>65</v>
      </c>
      <c r="AA6" s="1947"/>
      <c r="AC6" s="1001" t="b">
        <f>Z6="○"</f>
        <v>1</v>
      </c>
      <c r="AD6" s="378">
        <v>3</v>
      </c>
      <c r="AE6" s="375">
        <v>45</v>
      </c>
      <c r="AG6" s="375" t="s">
        <v>722</v>
      </c>
      <c r="AL6" s="375">
        <f>【様式１】総括表・個票!L93</f>
        <v>0</v>
      </c>
    </row>
    <row r="7" spans="1:38" ht="15" customHeight="1">
      <c r="A7" s="1905">
        <v>2</v>
      </c>
      <c r="B7" s="1906"/>
      <c r="C7" s="1907"/>
      <c r="D7" s="1957" t="s">
        <v>709</v>
      </c>
      <c r="E7" s="1958"/>
      <c r="F7" s="1958"/>
      <c r="G7" s="1958"/>
      <c r="H7" s="1959" t="s">
        <v>711</v>
      </c>
      <c r="I7" s="1906"/>
      <c r="J7" s="1906"/>
      <c r="K7" s="1907"/>
      <c r="L7" s="1915"/>
      <c r="M7" s="1903"/>
      <c r="N7" s="1002" t="s">
        <v>712</v>
      </c>
      <c r="O7" s="1903"/>
      <c r="P7" s="1903"/>
      <c r="Q7" s="1002" t="s">
        <v>713</v>
      </c>
      <c r="R7" s="1953" t="s">
        <v>714</v>
      </c>
      <c r="S7" s="1953"/>
      <c r="T7" s="1903"/>
      <c r="U7" s="1903"/>
      <c r="V7" s="1002" t="s">
        <v>712</v>
      </c>
      <c r="W7" s="1903"/>
      <c r="X7" s="1903"/>
      <c r="Y7" s="1003" t="s">
        <v>713</v>
      </c>
      <c r="Z7" s="1924" t="str">
        <f>IF(AND(L7&lt;&gt;"",O7&lt;&gt;"",T7&lt;&gt;"",W7&lt;&gt;"",L8&lt;&gt;"",O8&lt;&gt;"",T8&lt;&gt;"",W8&lt;&gt;""),"○","×")</f>
        <v>×</v>
      </c>
      <c r="AA7" s="1848"/>
      <c r="AC7" s="2003" t="b">
        <f>Z7="○"</f>
        <v>0</v>
      </c>
      <c r="AD7" s="378">
        <v>4</v>
      </c>
      <c r="AL7" s="375">
        <f>【様式１】総括表・個票!N93</f>
        <v>0</v>
      </c>
    </row>
    <row r="8" spans="1:38" ht="15" customHeight="1">
      <c r="A8" s="1908"/>
      <c r="B8" s="1909"/>
      <c r="C8" s="1910"/>
      <c r="D8" s="1957"/>
      <c r="E8" s="1958"/>
      <c r="F8" s="1958"/>
      <c r="G8" s="1958"/>
      <c r="H8" s="1870" t="s">
        <v>710</v>
      </c>
      <c r="I8" s="1955"/>
      <c r="J8" s="1955"/>
      <c r="K8" s="1956"/>
      <c r="L8" s="1954"/>
      <c r="M8" s="1904"/>
      <c r="N8" s="1004" t="s">
        <v>712</v>
      </c>
      <c r="O8" s="1904"/>
      <c r="P8" s="1904"/>
      <c r="Q8" s="1004" t="s">
        <v>713</v>
      </c>
      <c r="R8" s="1909" t="s">
        <v>714</v>
      </c>
      <c r="S8" s="1909"/>
      <c r="T8" s="1904"/>
      <c r="U8" s="1904"/>
      <c r="V8" s="1004" t="s">
        <v>712</v>
      </c>
      <c r="W8" s="1904"/>
      <c r="X8" s="1904"/>
      <c r="Y8" s="1005" t="s">
        <v>713</v>
      </c>
      <c r="Z8" s="1948"/>
      <c r="AA8" s="1949"/>
      <c r="AC8" s="2003"/>
      <c r="AD8" s="378">
        <v>5</v>
      </c>
      <c r="AL8" s="375">
        <f>【様式１】総括表・個票!P93</f>
        <v>0</v>
      </c>
    </row>
    <row r="9" spans="1:38" ht="15" customHeight="1">
      <c r="A9" s="1928">
        <v>3</v>
      </c>
      <c r="B9" s="1929"/>
      <c r="C9" s="1930"/>
      <c r="D9" s="1928" t="s">
        <v>715</v>
      </c>
      <c r="E9" s="1929"/>
      <c r="F9" s="1929"/>
      <c r="G9" s="1929"/>
      <c r="H9" s="1929"/>
      <c r="I9" s="1929"/>
      <c r="J9" s="1929"/>
      <c r="K9" s="1930"/>
      <c r="L9" s="1932" t="s">
        <v>1174</v>
      </c>
      <c r="M9" s="1931"/>
      <c r="N9" s="1931"/>
      <c r="O9" s="1931"/>
      <c r="P9" s="1931"/>
      <c r="Q9" s="1931"/>
      <c r="R9" s="1931"/>
      <c r="S9" s="1931">
        <f>【様式１】総括表・個票!AD93</f>
        <v>0</v>
      </c>
      <c r="T9" s="1931"/>
      <c r="U9" s="1931"/>
      <c r="V9" s="1931"/>
      <c r="W9" s="1931"/>
      <c r="X9" s="1931"/>
      <c r="Y9" s="1003" t="s">
        <v>10</v>
      </c>
      <c r="Z9" s="1924" t="s">
        <v>65</v>
      </c>
      <c r="AA9" s="1848"/>
      <c r="AC9" s="2003" t="b">
        <f>Z9="○"</f>
        <v>1</v>
      </c>
      <c r="AD9" s="378">
        <v>6</v>
      </c>
      <c r="AL9" s="375">
        <f>【様式１】総括表・個票!R93</f>
        <v>0</v>
      </c>
    </row>
    <row r="10" spans="1:38" ht="15" customHeight="1">
      <c r="A10" s="1905">
        <v>4</v>
      </c>
      <c r="B10" s="1906"/>
      <c r="C10" s="1907"/>
      <c r="D10" s="1938" t="s">
        <v>1154</v>
      </c>
      <c r="E10" s="1939"/>
      <c r="F10" s="1939"/>
      <c r="G10" s="1939"/>
      <c r="H10" s="1959" t="s">
        <v>732</v>
      </c>
      <c r="I10" s="1906"/>
      <c r="J10" s="1906"/>
      <c r="K10" s="1907"/>
      <c r="L10" s="1915"/>
      <c r="M10" s="1903"/>
      <c r="N10" s="1903"/>
      <c r="O10" s="1903"/>
      <c r="P10" s="1903"/>
      <c r="Q10" s="1903"/>
      <c r="R10" s="1903"/>
      <c r="S10" s="1903"/>
      <c r="T10" s="1903"/>
      <c r="U10" s="1903"/>
      <c r="V10" s="1903"/>
      <c r="W10" s="1903"/>
      <c r="X10" s="1903"/>
      <c r="Y10" s="1003"/>
      <c r="Z10" s="1924" t="str">
        <f>IF(AND(L10="実施している",L11&lt;&gt;""),"○","×")</f>
        <v>×</v>
      </c>
      <c r="AA10" s="1848"/>
      <c r="AC10" s="2003"/>
      <c r="AD10" s="378">
        <v>7</v>
      </c>
      <c r="AL10" s="375">
        <f>【様式１】総括表・個票!T93</f>
        <v>0</v>
      </c>
    </row>
    <row r="11" spans="1:38" ht="15" customHeight="1">
      <c r="A11" s="1908"/>
      <c r="B11" s="1909"/>
      <c r="C11" s="1910"/>
      <c r="D11" s="1938"/>
      <c r="E11" s="1939"/>
      <c r="F11" s="1939"/>
      <c r="G11" s="1939"/>
      <c r="H11" s="1870" t="s">
        <v>716</v>
      </c>
      <c r="I11" s="1955"/>
      <c r="J11" s="1955"/>
      <c r="K11" s="1956"/>
      <c r="L11" s="1916"/>
      <c r="M11" s="1917"/>
      <c r="N11" s="1917"/>
      <c r="O11" s="1917"/>
      <c r="P11" s="1917"/>
      <c r="Q11" s="1917"/>
      <c r="R11" s="1917"/>
      <c r="S11" s="1917"/>
      <c r="T11" s="1917"/>
      <c r="U11" s="1917"/>
      <c r="V11" s="1917"/>
      <c r="W11" s="1917"/>
      <c r="X11" s="1917"/>
      <c r="Y11" s="1005" t="s">
        <v>735</v>
      </c>
      <c r="Z11" s="1948"/>
      <c r="AA11" s="1949"/>
      <c r="AC11" s="2003" t="b">
        <f>Z10="○"</f>
        <v>0</v>
      </c>
      <c r="AD11" s="378">
        <v>8</v>
      </c>
      <c r="AL11" s="375">
        <f>【様式１】総括表・個票!V93</f>
        <v>0</v>
      </c>
    </row>
    <row r="12" spans="1:38" ht="15" customHeight="1">
      <c r="A12" s="1905">
        <v>5</v>
      </c>
      <c r="B12" s="1906"/>
      <c r="C12" s="1907"/>
      <c r="D12" s="1957" t="s">
        <v>716</v>
      </c>
      <c r="E12" s="1958"/>
      <c r="F12" s="1958"/>
      <c r="G12" s="1958"/>
      <c r="H12" s="1959" t="s">
        <v>717</v>
      </c>
      <c r="I12" s="1906"/>
      <c r="J12" s="1906"/>
      <c r="K12" s="1907"/>
      <c r="L12" s="1915"/>
      <c r="M12" s="1903"/>
      <c r="N12" s="1903"/>
      <c r="O12" s="1903"/>
      <c r="P12" s="1903"/>
      <c r="Q12" s="1903"/>
      <c r="R12" s="1903"/>
      <c r="S12" s="1903"/>
      <c r="T12" s="1903"/>
      <c r="U12" s="1903"/>
      <c r="V12" s="1903"/>
      <c r="W12" s="1903"/>
      <c r="X12" s="1903"/>
      <c r="Y12" s="1003"/>
      <c r="Z12" s="1924" t="str">
        <f>IF(AND(L12&lt;&gt;"",L13&lt;&gt;""),"○","×")</f>
        <v>×</v>
      </c>
      <c r="AA12" s="1848"/>
      <c r="AC12" s="2003"/>
      <c r="AD12" s="378">
        <v>9</v>
      </c>
      <c r="AL12" s="375">
        <f>【様式１】総括表・個票!X93</f>
        <v>0</v>
      </c>
    </row>
    <row r="13" spans="1:38" ht="15" customHeight="1">
      <c r="A13" s="1908"/>
      <c r="B13" s="1909"/>
      <c r="C13" s="1910"/>
      <c r="D13" s="1957"/>
      <c r="E13" s="1958"/>
      <c r="F13" s="1958"/>
      <c r="G13" s="1958"/>
      <c r="H13" s="1870" t="s">
        <v>718</v>
      </c>
      <c r="I13" s="1955"/>
      <c r="J13" s="1955"/>
      <c r="K13" s="1956"/>
      <c r="L13" s="1916"/>
      <c r="M13" s="1917"/>
      <c r="N13" s="1917"/>
      <c r="O13" s="1917"/>
      <c r="P13" s="1917"/>
      <c r="Q13" s="1917"/>
      <c r="R13" s="1917"/>
      <c r="S13" s="1917"/>
      <c r="T13" s="1917"/>
      <c r="U13" s="1917"/>
      <c r="V13" s="1917"/>
      <c r="W13" s="1917"/>
      <c r="X13" s="1917"/>
      <c r="Y13" s="1005" t="s">
        <v>719</v>
      </c>
      <c r="Z13" s="1948"/>
      <c r="AA13" s="1949"/>
      <c r="AC13" s="2003" t="b">
        <f>Z12="○"</f>
        <v>0</v>
      </c>
      <c r="AD13" s="378">
        <v>10</v>
      </c>
      <c r="AL13" s="375">
        <f>【様式１】総括表・個票!Z93</f>
        <v>0</v>
      </c>
    </row>
    <row r="14" spans="1:38" ht="15" customHeight="1">
      <c r="A14" s="1905">
        <v>6</v>
      </c>
      <c r="B14" s="1906"/>
      <c r="C14" s="1907"/>
      <c r="D14" s="1905" t="s">
        <v>723</v>
      </c>
      <c r="E14" s="1906"/>
      <c r="F14" s="1906"/>
      <c r="G14" s="1906"/>
      <c r="H14" s="1997" t="s">
        <v>724</v>
      </c>
      <c r="I14" s="1953"/>
      <c r="J14" s="1953"/>
      <c r="K14" s="2005"/>
      <c r="L14" s="1918"/>
      <c r="M14" s="1919"/>
      <c r="N14" s="1919"/>
      <c r="O14" s="1919"/>
      <c r="P14" s="1919"/>
      <c r="Q14" s="1919"/>
      <c r="R14" s="1919"/>
      <c r="S14" s="1919"/>
      <c r="T14" s="1919"/>
      <c r="U14" s="1919"/>
      <c r="V14" s="1919"/>
      <c r="W14" s="1919"/>
      <c r="X14" s="1919"/>
      <c r="Y14" s="1006"/>
      <c r="Z14" s="1924" t="str">
        <f>IF(AND(L14&lt;&gt;"",L15&lt;&gt;""),"○","×")</f>
        <v>×</v>
      </c>
      <c r="AA14" s="1848"/>
      <c r="AC14" s="2003"/>
      <c r="AD14" s="378">
        <v>11</v>
      </c>
      <c r="AL14" s="375">
        <f>【様式１】総括表・個票!AB93</f>
        <v>0</v>
      </c>
    </row>
    <row r="15" spans="1:38" ht="15" customHeight="1">
      <c r="A15" s="1845"/>
      <c r="B15" s="1960"/>
      <c r="C15" s="1961"/>
      <c r="D15" s="1845"/>
      <c r="E15" s="1960"/>
      <c r="F15" s="1960"/>
      <c r="G15" s="1960"/>
      <c r="H15" s="2006" t="s">
        <v>728</v>
      </c>
      <c r="I15" s="2007"/>
      <c r="J15" s="2007"/>
      <c r="K15" s="2008"/>
      <c r="L15" s="1920"/>
      <c r="M15" s="1921"/>
      <c r="N15" s="1921"/>
      <c r="O15" s="1921"/>
      <c r="P15" s="1921"/>
      <c r="Q15" s="1921"/>
      <c r="R15" s="1921"/>
      <c r="S15" s="1921"/>
      <c r="T15" s="1921"/>
      <c r="U15" s="1921"/>
      <c r="V15" s="1921"/>
      <c r="W15" s="1921"/>
      <c r="X15" s="1921"/>
      <c r="Y15" s="1007"/>
      <c r="Z15" s="1950"/>
      <c r="AA15" s="1849"/>
      <c r="AC15" s="2003" t="b">
        <f>Z14="○"</f>
        <v>0</v>
      </c>
      <c r="AD15" s="378">
        <v>12</v>
      </c>
      <c r="AL15" s="374" t="s">
        <v>1180</v>
      </c>
    </row>
    <row r="16" spans="1:38" ht="15" customHeight="1" thickBot="1">
      <c r="A16" s="396"/>
      <c r="B16" s="396"/>
      <c r="C16" s="396"/>
      <c r="D16" s="396"/>
      <c r="E16" s="396"/>
      <c r="F16" s="396"/>
      <c r="G16" s="396"/>
      <c r="H16" s="396"/>
      <c r="I16" s="396"/>
      <c r="J16" s="396"/>
      <c r="K16" s="396"/>
      <c r="L16" s="396"/>
      <c r="M16" s="396"/>
      <c r="N16" s="396"/>
      <c r="O16" s="396"/>
      <c r="P16" s="396"/>
      <c r="Q16" s="396"/>
      <c r="R16" s="396"/>
      <c r="S16" s="396"/>
      <c r="T16" s="396"/>
      <c r="U16" s="396"/>
      <c r="V16" s="396"/>
      <c r="W16" s="396"/>
      <c r="X16" s="396"/>
      <c r="Y16" s="396"/>
      <c r="Z16" s="396"/>
      <c r="AA16" s="396"/>
      <c r="AC16" s="2003"/>
      <c r="AD16" s="378">
        <v>13</v>
      </c>
      <c r="AL16" s="374" t="e">
        <f>HLOOKUP(【様式１】総括表・個票!$I$10,【様式１】総括表・個票!$F$91:$AC$93,3,FALSE)</f>
        <v>#N/A</v>
      </c>
    </row>
    <row r="17" spans="1:30" ht="15" customHeight="1">
      <c r="A17" s="1941" t="s">
        <v>741</v>
      </c>
      <c r="B17" s="1942"/>
      <c r="C17" s="1942"/>
      <c r="D17" s="1942"/>
      <c r="E17" s="1942"/>
      <c r="F17" s="1942"/>
      <c r="G17" s="1942"/>
      <c r="H17" s="1942"/>
      <c r="I17" s="1942"/>
      <c r="J17" s="1942"/>
      <c r="K17" s="1942"/>
      <c r="L17" s="1942"/>
      <c r="M17" s="1942"/>
      <c r="N17" s="1942"/>
      <c r="O17" s="1942"/>
      <c r="P17" s="1942"/>
      <c r="Q17" s="1942"/>
      <c r="R17" s="1942"/>
      <c r="S17" s="1942"/>
      <c r="T17" s="1942"/>
      <c r="U17" s="1942"/>
      <c r="V17" s="1942"/>
      <c r="W17" s="1942"/>
      <c r="X17" s="1942"/>
      <c r="Y17" s="1942"/>
      <c r="Z17" s="1942"/>
      <c r="AA17" s="1943"/>
      <c r="AC17" s="1008"/>
      <c r="AD17" s="378">
        <v>14</v>
      </c>
    </row>
    <row r="18" spans="1:30" ht="15" customHeight="1" thickBot="1">
      <c r="A18" s="1900" t="s">
        <v>72</v>
      </c>
      <c r="B18" s="1901"/>
      <c r="C18" s="1902"/>
      <c r="D18" s="1936" t="s">
        <v>745</v>
      </c>
      <c r="E18" s="1936"/>
      <c r="F18" s="1936"/>
      <c r="G18" s="1936"/>
      <c r="H18" s="1936"/>
      <c r="I18" s="1936"/>
      <c r="J18" s="1936"/>
      <c r="K18" s="1936"/>
      <c r="L18" s="1936"/>
      <c r="M18" s="1936"/>
      <c r="N18" s="1936"/>
      <c r="O18" s="1936"/>
      <c r="P18" s="1936"/>
      <c r="Q18" s="1936"/>
      <c r="R18" s="1936"/>
      <c r="S18" s="1936"/>
      <c r="T18" s="1936" t="s">
        <v>746</v>
      </c>
      <c r="U18" s="1936"/>
      <c r="V18" s="1936"/>
      <c r="W18" s="1936"/>
      <c r="X18" s="2004"/>
      <c r="Y18" s="2004"/>
      <c r="Z18" s="1944" t="s">
        <v>751</v>
      </c>
      <c r="AA18" s="1945"/>
      <c r="AC18" s="1008"/>
      <c r="AD18" s="378">
        <v>15</v>
      </c>
    </row>
    <row r="19" spans="1:30" ht="15" customHeight="1">
      <c r="A19" s="1908">
        <v>1</v>
      </c>
      <c r="B19" s="1909"/>
      <c r="C19" s="1910"/>
      <c r="D19" s="1963" t="s">
        <v>742</v>
      </c>
      <c r="E19" s="1963"/>
      <c r="F19" s="1963"/>
      <c r="G19" s="1963"/>
      <c r="H19" s="1963"/>
      <c r="I19" s="1963"/>
      <c r="J19" s="1963"/>
      <c r="K19" s="1963"/>
      <c r="L19" s="1963"/>
      <c r="M19" s="1963"/>
      <c r="N19" s="1963"/>
      <c r="O19" s="1963"/>
      <c r="P19" s="1963"/>
      <c r="Q19" s="1963"/>
      <c r="R19" s="1963"/>
      <c r="S19" s="1963"/>
      <c r="T19" s="1940"/>
      <c r="U19" s="1940"/>
      <c r="V19" s="1940"/>
      <c r="W19" s="1940"/>
      <c r="X19" s="1940"/>
      <c r="Y19" s="1940"/>
      <c r="Z19" s="1951" t="str">
        <f>IF(T19="はい","○","×")</f>
        <v>×</v>
      </c>
      <c r="AA19" s="1952"/>
      <c r="AC19" s="1008"/>
      <c r="AD19" s="378">
        <v>16</v>
      </c>
    </row>
    <row r="20" spans="1:30" ht="15" customHeight="1">
      <c r="A20" s="1924">
        <v>2</v>
      </c>
      <c r="B20" s="1862"/>
      <c r="C20" s="1848"/>
      <c r="D20" s="1964" t="s">
        <v>744</v>
      </c>
      <c r="E20" s="1964"/>
      <c r="F20" s="1964"/>
      <c r="G20" s="1964"/>
      <c r="H20" s="1964"/>
      <c r="I20" s="1964"/>
      <c r="J20" s="1964"/>
      <c r="K20" s="1964"/>
      <c r="L20" s="1964"/>
      <c r="M20" s="1964"/>
      <c r="N20" s="1964"/>
      <c r="O20" s="1964"/>
      <c r="P20" s="1964"/>
      <c r="Q20" s="1964"/>
      <c r="R20" s="1964"/>
      <c r="S20" s="1964"/>
      <c r="T20" s="1933"/>
      <c r="U20" s="1933"/>
      <c r="V20" s="1933"/>
      <c r="W20" s="1933"/>
      <c r="X20" s="1933"/>
      <c r="Y20" s="1933"/>
      <c r="Z20" s="1965" t="str">
        <f>IF(T20="はい","○","×")</f>
        <v>×</v>
      </c>
      <c r="AA20" s="1966"/>
      <c r="AC20" s="1001" t="b">
        <f>Z19="○"</f>
        <v>0</v>
      </c>
      <c r="AD20" s="378">
        <v>17</v>
      </c>
    </row>
    <row r="21" spans="1:30" ht="15" customHeight="1">
      <c r="A21" s="1925"/>
      <c r="B21" s="1926"/>
      <c r="C21" s="1927"/>
      <c r="D21" s="1964"/>
      <c r="E21" s="1964"/>
      <c r="F21" s="1964"/>
      <c r="G21" s="1964"/>
      <c r="H21" s="1964"/>
      <c r="I21" s="1964"/>
      <c r="J21" s="1964"/>
      <c r="K21" s="1964"/>
      <c r="L21" s="1964"/>
      <c r="M21" s="1964"/>
      <c r="N21" s="1964"/>
      <c r="O21" s="1964"/>
      <c r="P21" s="1964"/>
      <c r="Q21" s="1964"/>
      <c r="R21" s="1964"/>
      <c r="S21" s="1964"/>
      <c r="T21" s="1933"/>
      <c r="U21" s="1933"/>
      <c r="V21" s="1933"/>
      <c r="W21" s="1933"/>
      <c r="X21" s="1933"/>
      <c r="Y21" s="1933"/>
      <c r="Z21" s="1967"/>
      <c r="AA21" s="1968"/>
      <c r="AC21" s="2003" t="b">
        <f>Z20="○"</f>
        <v>0</v>
      </c>
      <c r="AD21" s="378">
        <v>18</v>
      </c>
    </row>
    <row r="22" spans="1:30" ht="15" customHeight="1">
      <c r="A22" s="1948"/>
      <c r="B22" s="1962"/>
      <c r="C22" s="1949"/>
      <c r="D22" s="1964"/>
      <c r="E22" s="1964"/>
      <c r="F22" s="1964"/>
      <c r="G22" s="1964"/>
      <c r="H22" s="1964"/>
      <c r="I22" s="1964"/>
      <c r="J22" s="1964"/>
      <c r="K22" s="1964"/>
      <c r="L22" s="1964"/>
      <c r="M22" s="1964"/>
      <c r="N22" s="1964"/>
      <c r="O22" s="1964"/>
      <c r="P22" s="1964"/>
      <c r="Q22" s="1964"/>
      <c r="R22" s="1964"/>
      <c r="S22" s="1964"/>
      <c r="T22" s="1933"/>
      <c r="U22" s="1933"/>
      <c r="V22" s="1933"/>
      <c r="W22" s="1933"/>
      <c r="X22" s="1933"/>
      <c r="Y22" s="1933"/>
      <c r="Z22" s="1969"/>
      <c r="AA22" s="1970"/>
      <c r="AC22" s="2003"/>
      <c r="AD22" s="378">
        <v>19</v>
      </c>
    </row>
    <row r="23" spans="1:30" ht="15" customHeight="1">
      <c r="A23" s="1924">
        <v>3</v>
      </c>
      <c r="B23" s="1862"/>
      <c r="C23" s="1848"/>
      <c r="D23" s="2019" t="s">
        <v>1155</v>
      </c>
      <c r="E23" s="2020"/>
      <c r="F23" s="2020"/>
      <c r="G23" s="2020"/>
      <c r="H23" s="2020"/>
      <c r="I23" s="2020"/>
      <c r="J23" s="2020"/>
      <c r="K23" s="2020"/>
      <c r="L23" s="2020"/>
      <c r="M23" s="2020"/>
      <c r="N23" s="2020"/>
      <c r="O23" s="2020"/>
      <c r="P23" s="2020"/>
      <c r="Q23" s="2020"/>
      <c r="R23" s="2020"/>
      <c r="S23" s="2020"/>
      <c r="T23" s="2020"/>
      <c r="U23" s="2020"/>
      <c r="V23" s="2020"/>
      <c r="W23" s="2020"/>
      <c r="X23" s="2020"/>
      <c r="Y23" s="2021"/>
      <c r="Z23" s="1965" t="e">
        <f>IF(W32&gt;=Q32,"○","×")</f>
        <v>#DIV/0!</v>
      </c>
      <c r="AA23" s="1966"/>
      <c r="AC23" s="2003"/>
      <c r="AD23" s="378">
        <v>20</v>
      </c>
    </row>
    <row r="24" spans="1:30" ht="15" customHeight="1">
      <c r="A24" s="1925"/>
      <c r="B24" s="1926"/>
      <c r="C24" s="1927"/>
      <c r="E24" s="1914" t="str">
        <f>"＜"&amp;【様式１】総括表・個票!I10&amp;"月分＞"</f>
        <v>＜月分＞</v>
      </c>
      <c r="F24" s="1914"/>
      <c r="G24" s="1914"/>
      <c r="H24" s="1914"/>
      <c r="I24" s="396"/>
      <c r="J24" s="396"/>
      <c r="K24" s="396"/>
      <c r="L24" s="396"/>
      <c r="M24" s="396"/>
      <c r="N24" s="396"/>
      <c r="O24" s="396"/>
      <c r="P24" s="396"/>
      <c r="Q24" s="396"/>
      <c r="R24" s="396"/>
      <c r="S24" s="396"/>
      <c r="T24" s="396"/>
      <c r="U24" s="396"/>
      <c r="V24" s="396"/>
      <c r="W24" s="396"/>
      <c r="X24" s="396"/>
      <c r="Y24" s="396"/>
      <c r="Z24" s="1969"/>
      <c r="AA24" s="1970"/>
      <c r="AC24" s="2003" t="e">
        <f>Z23="○"</f>
        <v>#DIV/0!</v>
      </c>
      <c r="AD24" s="378">
        <v>21</v>
      </c>
    </row>
    <row r="25" spans="1:30" ht="15" customHeight="1">
      <c r="A25" s="1925"/>
      <c r="B25" s="1926"/>
      <c r="C25" s="1927"/>
      <c r="D25" s="1072"/>
      <c r="E25" s="2011" t="e">
        <f>"【様式１】個票３の延べ利用子ども数"&amp;【様式１】総括表・個票!$I$10&amp;"月分の内訳（計"&amp;$AL$16&amp;"名）"</f>
        <v>#N/A</v>
      </c>
      <c r="F25" s="2012"/>
      <c r="G25" s="2012"/>
      <c r="H25" s="2012"/>
      <c r="I25" s="2012"/>
      <c r="J25" s="2012"/>
      <c r="K25" s="2012"/>
      <c r="L25" s="2012"/>
      <c r="M25" s="2013"/>
      <c r="N25" s="1448" t="s">
        <v>1151</v>
      </c>
      <c r="O25" s="1449"/>
      <c r="P25" s="1584"/>
      <c r="Q25" s="1448" t="s">
        <v>1153</v>
      </c>
      <c r="R25" s="1449"/>
      <c r="S25" s="1584"/>
      <c r="T25" s="1448" t="s">
        <v>1159</v>
      </c>
      <c r="U25" s="1449"/>
      <c r="V25" s="1449"/>
      <c r="W25" s="1449"/>
      <c r="X25" s="1449"/>
      <c r="Y25" s="1584"/>
      <c r="Z25" s="1075"/>
      <c r="AA25" s="1076"/>
      <c r="AC25" s="2003"/>
      <c r="AD25" s="378">
        <v>22</v>
      </c>
    </row>
    <row r="26" spans="1:30" ht="15" customHeight="1">
      <c r="A26" s="1925"/>
      <c r="B26" s="1926"/>
      <c r="C26" s="1927"/>
      <c r="D26" s="1072"/>
      <c r="E26" s="2014"/>
      <c r="F26" s="2015"/>
      <c r="G26" s="2015"/>
      <c r="H26" s="2015"/>
      <c r="I26" s="2015"/>
      <c r="J26" s="2015"/>
      <c r="K26" s="2015"/>
      <c r="L26" s="2015"/>
      <c r="M26" s="2016"/>
      <c r="N26" s="1450"/>
      <c r="O26" s="1451"/>
      <c r="P26" s="1518"/>
      <c r="Q26" s="1450"/>
      <c r="R26" s="1451"/>
      <c r="S26" s="1518"/>
      <c r="T26" s="1450"/>
      <c r="U26" s="1451"/>
      <c r="V26" s="1451"/>
      <c r="W26" s="1451"/>
      <c r="X26" s="1451"/>
      <c r="Y26" s="1518"/>
      <c r="Z26" s="1081"/>
      <c r="AA26" s="1078"/>
      <c r="AC26" s="2003"/>
      <c r="AD26" s="378">
        <v>23</v>
      </c>
    </row>
    <row r="27" spans="1:30" ht="15" customHeight="1">
      <c r="A27" s="1925"/>
      <c r="B27" s="1926"/>
      <c r="C27" s="1927"/>
      <c r="D27" s="1072"/>
      <c r="E27" s="2017"/>
      <c r="F27" s="1355"/>
      <c r="G27" s="1355"/>
      <c r="H27" s="1355"/>
      <c r="I27" s="1355"/>
      <c r="J27" s="1355"/>
      <c r="K27" s="1355"/>
      <c r="L27" s="1355"/>
      <c r="M27" s="2018"/>
      <c r="N27" s="1452"/>
      <c r="O27" s="1453"/>
      <c r="P27" s="1783"/>
      <c r="Q27" s="1452"/>
      <c r="R27" s="1453"/>
      <c r="S27" s="1783"/>
      <c r="T27" s="1452"/>
      <c r="U27" s="1453"/>
      <c r="V27" s="1453"/>
      <c r="W27" s="1453"/>
      <c r="X27" s="1453"/>
      <c r="Y27" s="1783"/>
      <c r="Z27" s="1081"/>
      <c r="AA27" s="1078"/>
      <c r="AC27" s="2003"/>
      <c r="AD27" s="1070"/>
    </row>
    <row r="28" spans="1:30" ht="15" customHeight="1">
      <c r="A28" s="1925"/>
      <c r="B28" s="1926"/>
      <c r="C28" s="1927"/>
      <c r="D28" s="1072"/>
      <c r="E28" s="1987" t="s">
        <v>130</v>
      </c>
      <c r="F28" s="1988"/>
      <c r="G28" s="1988"/>
      <c r="H28" s="1989"/>
      <c r="I28" s="1985"/>
      <c r="J28" s="1986"/>
      <c r="K28" s="1986"/>
      <c r="L28" s="1986"/>
      <c r="M28" s="652" t="s">
        <v>131</v>
      </c>
      <c r="N28" s="1911" t="s">
        <v>1147</v>
      </c>
      <c r="O28" s="1912"/>
      <c r="P28" s="1913"/>
      <c r="Q28" s="1890">
        <f>ROUNDDOWN(I28/3/25,2)</f>
        <v>0</v>
      </c>
      <c r="R28" s="1891"/>
      <c r="S28" s="1085" t="s">
        <v>1152</v>
      </c>
      <c r="T28" s="1886" t="s">
        <v>1156</v>
      </c>
      <c r="U28" s="1887"/>
      <c r="V28" s="1887"/>
      <c r="W28" s="1974">
        <f>【様式５】職員数算出表!L152</f>
        <v>0</v>
      </c>
      <c r="X28" s="1974"/>
      <c r="Y28" s="1444" t="s">
        <v>1158</v>
      </c>
      <c r="Z28" s="1081"/>
      <c r="AA28" s="1078"/>
      <c r="AC28" s="2003"/>
      <c r="AD28" s="1070"/>
    </row>
    <row r="29" spans="1:30" ht="15" customHeight="1">
      <c r="A29" s="1925"/>
      <c r="B29" s="1926"/>
      <c r="C29" s="1927"/>
      <c r="D29" s="1070"/>
      <c r="E29" s="1992" t="s">
        <v>132</v>
      </c>
      <c r="F29" s="1993"/>
      <c r="G29" s="1993"/>
      <c r="H29" s="1994"/>
      <c r="I29" s="1922"/>
      <c r="J29" s="1923"/>
      <c r="K29" s="1923"/>
      <c r="L29" s="1923"/>
      <c r="M29" s="710" t="s">
        <v>131</v>
      </c>
      <c r="N29" s="1879" t="s">
        <v>1148</v>
      </c>
      <c r="O29" s="1880"/>
      <c r="P29" s="1881"/>
      <c r="Q29" s="1875">
        <f>ROUNDDOWN(I29/6/25,2)</f>
        <v>0</v>
      </c>
      <c r="R29" s="1876"/>
      <c r="S29" s="710" t="s">
        <v>1152</v>
      </c>
      <c r="T29" s="1888"/>
      <c r="U29" s="1889"/>
      <c r="V29" s="1889"/>
      <c r="W29" s="1975"/>
      <c r="X29" s="1975"/>
      <c r="Y29" s="1971"/>
      <c r="Z29" s="1925" t="s">
        <v>1163</v>
      </c>
      <c r="AA29" s="1927"/>
      <c r="AC29" s="2003"/>
      <c r="AD29" s="1070"/>
    </row>
    <row r="30" spans="1:30" ht="15" customHeight="1">
      <c r="A30" s="1925"/>
      <c r="B30" s="1926"/>
      <c r="C30" s="1927"/>
      <c r="D30" s="1072"/>
      <c r="E30" s="1992" t="s">
        <v>133</v>
      </c>
      <c r="F30" s="1993"/>
      <c r="G30" s="1993"/>
      <c r="H30" s="1994"/>
      <c r="I30" s="1922"/>
      <c r="J30" s="1923"/>
      <c r="K30" s="1923"/>
      <c r="L30" s="1923"/>
      <c r="M30" s="710" t="s">
        <v>131</v>
      </c>
      <c r="N30" s="1879" t="s">
        <v>1149</v>
      </c>
      <c r="O30" s="1880"/>
      <c r="P30" s="1881"/>
      <c r="Q30" s="1875">
        <f>ROUNDDOWN(I30/20/25,2)</f>
        <v>0</v>
      </c>
      <c r="R30" s="1876"/>
      <c r="S30" s="710" t="s">
        <v>1152</v>
      </c>
      <c r="T30" s="1414" t="s">
        <v>1157</v>
      </c>
      <c r="U30" s="1415"/>
      <c r="V30" s="1415"/>
      <c r="W30" s="1976" t="e">
        <f>V54</f>
        <v>#DIV/0!</v>
      </c>
      <c r="X30" s="1976"/>
      <c r="Y30" s="1972" t="s">
        <v>1158</v>
      </c>
      <c r="Z30" s="1925"/>
      <c r="AA30" s="1927"/>
      <c r="AC30" s="2003"/>
      <c r="AD30" s="1070"/>
    </row>
    <row r="31" spans="1:30" ht="15" customHeight="1">
      <c r="A31" s="1925"/>
      <c r="B31" s="1926"/>
      <c r="C31" s="1927"/>
      <c r="D31" s="1072"/>
      <c r="E31" s="1995" t="s">
        <v>134</v>
      </c>
      <c r="F31" s="1368"/>
      <c r="G31" s="1368"/>
      <c r="H31" s="1996"/>
      <c r="I31" s="1981"/>
      <c r="J31" s="1982"/>
      <c r="K31" s="1982"/>
      <c r="L31" s="1982"/>
      <c r="M31" s="711" t="s">
        <v>131</v>
      </c>
      <c r="N31" s="1978" t="s">
        <v>1150</v>
      </c>
      <c r="O31" s="1979"/>
      <c r="P31" s="1980"/>
      <c r="Q31" s="1877">
        <f>ROUNDDOWN(I31/30/25,2)</f>
        <v>0</v>
      </c>
      <c r="R31" s="1878"/>
      <c r="S31" s="711" t="s">
        <v>1152</v>
      </c>
      <c r="T31" s="1417"/>
      <c r="U31" s="1418"/>
      <c r="V31" s="1418"/>
      <c r="W31" s="1977"/>
      <c r="X31" s="1977"/>
      <c r="Y31" s="1973"/>
      <c r="Z31" s="1925" t="s">
        <v>1164</v>
      </c>
      <c r="AA31" s="1927"/>
      <c r="AC31" s="2003"/>
      <c r="AD31" s="1070"/>
    </row>
    <row r="32" spans="1:30" ht="15" customHeight="1">
      <c r="A32" s="1925"/>
      <c r="B32" s="1926"/>
      <c r="C32" s="1927"/>
      <c r="D32" s="1072"/>
      <c r="E32" s="1457" t="s">
        <v>135</v>
      </c>
      <c r="F32" s="1455"/>
      <c r="G32" s="1455"/>
      <c r="H32" s="1398"/>
      <c r="I32" s="1457">
        <f>SUM(I28:L31)</f>
        <v>0</v>
      </c>
      <c r="J32" s="1455"/>
      <c r="K32" s="1455"/>
      <c r="L32" s="1455"/>
      <c r="M32" s="711" t="s">
        <v>131</v>
      </c>
      <c r="N32" s="2009"/>
      <c r="O32" s="1665"/>
      <c r="P32" s="2010"/>
      <c r="Q32" s="1884">
        <f>IF(ROUND(SUM(Q28:R31),1)&lt;0.5,0.5,ROUND(SUM(Q28:R31),1))</f>
        <v>0.5</v>
      </c>
      <c r="R32" s="1885"/>
      <c r="S32" s="641" t="s">
        <v>1152</v>
      </c>
      <c r="T32" s="1071"/>
      <c r="U32" s="1069"/>
      <c r="V32" s="1069"/>
      <c r="W32" s="1892" t="e">
        <f>SUM(W28:X31)</f>
        <v>#DIV/0!</v>
      </c>
      <c r="X32" s="1892"/>
      <c r="Y32" s="1077" t="s">
        <v>1158</v>
      </c>
      <c r="Z32" s="1925"/>
      <c r="AA32" s="1927"/>
      <c r="AC32" s="2003"/>
      <c r="AD32" s="1070"/>
    </row>
    <row r="33" spans="1:30" ht="15" customHeight="1">
      <c r="A33" s="1925"/>
      <c r="B33" s="1926"/>
      <c r="C33" s="1927"/>
      <c r="D33" s="1072"/>
      <c r="E33" s="1073" t="s">
        <v>1171</v>
      </c>
      <c r="F33" s="1073"/>
      <c r="G33" s="1073"/>
      <c r="H33" s="1073"/>
      <c r="I33" s="1073"/>
      <c r="J33" s="1073"/>
      <c r="K33" s="1073"/>
      <c r="L33" s="1073"/>
      <c r="M33" s="1073"/>
      <c r="N33" s="1073"/>
      <c r="O33" s="1073"/>
      <c r="P33" s="1073"/>
      <c r="Q33" s="1073"/>
      <c r="R33" s="1073"/>
      <c r="S33" s="1073"/>
      <c r="T33" s="1073"/>
      <c r="U33" s="1073"/>
      <c r="V33" s="1073"/>
      <c r="W33" s="1073"/>
      <c r="X33" s="1073"/>
      <c r="Y33" s="1073"/>
      <c r="Z33" s="1081"/>
      <c r="AA33" s="1078"/>
      <c r="AC33" s="2003"/>
      <c r="AD33" s="1070"/>
    </row>
    <row r="34" spans="1:30" ht="15" customHeight="1">
      <c r="A34" s="1925"/>
      <c r="B34" s="1926"/>
      <c r="C34" s="1927"/>
      <c r="D34" s="1072"/>
      <c r="E34" s="1073" t="s">
        <v>1172</v>
      </c>
      <c r="F34" s="1073"/>
      <c r="G34" s="1073"/>
      <c r="H34" s="1073"/>
      <c r="I34" s="1073"/>
      <c r="J34" s="1073"/>
      <c r="K34" s="1073"/>
      <c r="L34" s="1073"/>
      <c r="M34" s="1073"/>
      <c r="N34" s="1073"/>
      <c r="O34" s="1073"/>
      <c r="P34" s="1073"/>
      <c r="Q34" s="1073"/>
      <c r="R34" s="1073"/>
      <c r="S34" s="1073"/>
      <c r="T34" s="1073"/>
      <c r="U34" s="1073"/>
      <c r="V34" s="1073"/>
      <c r="W34" s="1073"/>
      <c r="X34" s="1073"/>
      <c r="Y34" s="1073"/>
      <c r="Z34" s="1073"/>
      <c r="AA34" s="1074"/>
      <c r="AC34" s="2003"/>
      <c r="AD34" s="1070"/>
    </row>
    <row r="35" spans="1:30" ht="15" customHeight="1">
      <c r="A35" s="1925"/>
      <c r="B35" s="1926"/>
      <c r="C35" s="1927"/>
      <c r="D35" s="1072"/>
      <c r="E35" s="1896" t="s">
        <v>1163</v>
      </c>
      <c r="F35" s="1894"/>
      <c r="G35" s="1893" t="s">
        <v>1161</v>
      </c>
      <c r="H35" s="1894"/>
      <c r="I35" s="1894"/>
      <c r="J35" s="1894"/>
      <c r="K35" s="1894"/>
      <c r="L35" s="1894"/>
      <c r="M35" s="1894"/>
      <c r="N35" s="1894"/>
      <c r="O35" s="1894"/>
      <c r="P35" s="1894"/>
      <c r="Q35" s="1894"/>
      <c r="R35" s="1899"/>
      <c r="S35" s="1893" t="s">
        <v>1160</v>
      </c>
      <c r="T35" s="1894"/>
      <c r="U35" s="1894"/>
      <c r="V35" s="1894"/>
      <c r="W35" s="1894"/>
      <c r="X35" s="1894"/>
      <c r="Y35" s="1895"/>
      <c r="Z35" s="1073"/>
      <c r="AA35" s="1074"/>
      <c r="AC35" s="2003"/>
      <c r="AD35" s="1070"/>
    </row>
    <row r="36" spans="1:30" ht="15" customHeight="1">
      <c r="A36" s="1925"/>
      <c r="B36" s="1926"/>
      <c r="C36" s="1927"/>
      <c r="D36" s="1081"/>
      <c r="E36" s="1082"/>
      <c r="F36" s="1082"/>
      <c r="G36" s="1082"/>
      <c r="H36" s="1082"/>
      <c r="I36" s="1082"/>
      <c r="J36" s="1082"/>
      <c r="K36" s="1082"/>
      <c r="L36" s="1082"/>
      <c r="M36" s="1082"/>
      <c r="N36" s="1082"/>
      <c r="O36" s="1082"/>
      <c r="P36" s="1082"/>
      <c r="Q36" s="1082"/>
      <c r="R36" s="1082"/>
      <c r="S36" s="1082"/>
      <c r="T36" s="1082"/>
      <c r="U36" s="1082"/>
      <c r="V36" s="1082"/>
      <c r="W36" s="1082"/>
      <c r="X36" s="1082"/>
      <c r="Y36" s="1082"/>
      <c r="Z36" s="1081"/>
      <c r="AA36" s="1078"/>
      <c r="AC36" s="2003"/>
      <c r="AD36" s="1070"/>
    </row>
    <row r="37" spans="1:30" ht="15" customHeight="1">
      <c r="A37" s="1925"/>
      <c r="B37" s="1926"/>
      <c r="C37" s="1927"/>
      <c r="D37" s="1072"/>
      <c r="E37" s="1897" t="s">
        <v>1164</v>
      </c>
      <c r="F37" s="1898"/>
      <c r="G37" s="1990" t="s">
        <v>1165</v>
      </c>
      <c r="H37" s="1898"/>
      <c r="I37" s="1898"/>
      <c r="J37" s="1898"/>
      <c r="K37" s="1898"/>
      <c r="L37" s="1898"/>
      <c r="M37" s="1898"/>
      <c r="N37" s="1898"/>
      <c r="O37" s="1898"/>
      <c r="P37" s="1898"/>
      <c r="Q37" s="1898"/>
      <c r="R37" s="1898"/>
      <c r="S37" s="1898"/>
      <c r="T37" s="1898"/>
      <c r="U37" s="1898"/>
      <c r="V37" s="1898"/>
      <c r="W37" s="1898"/>
      <c r="X37" s="1898"/>
      <c r="Y37" s="1991"/>
      <c r="Z37" s="1081"/>
      <c r="AA37" s="1078"/>
      <c r="AC37" s="2003"/>
      <c r="AD37" s="1070"/>
    </row>
    <row r="38" spans="1:30" ht="15" customHeight="1">
      <c r="A38" s="1925"/>
      <c r="B38" s="1926"/>
      <c r="C38" s="1927"/>
      <c r="D38" s="1072"/>
      <c r="E38" s="1882" t="s">
        <v>72</v>
      </c>
      <c r="F38" s="1883"/>
      <c r="G38" s="1997" t="s">
        <v>190</v>
      </c>
      <c r="H38" s="1953"/>
      <c r="I38" s="1953"/>
      <c r="J38" s="1998"/>
      <c r="K38" s="1999" t="s">
        <v>188</v>
      </c>
      <c r="L38" s="1999"/>
      <c r="M38" s="1999"/>
      <c r="N38" s="1999"/>
      <c r="O38" s="1999"/>
      <c r="P38" s="1999"/>
      <c r="Q38" s="2000"/>
      <c r="R38" s="2001" t="s">
        <v>752</v>
      </c>
      <c r="S38" s="2001"/>
      <c r="T38" s="2001"/>
      <c r="U38" s="2001"/>
      <c r="V38" s="2001"/>
      <c r="W38" s="2001"/>
      <c r="X38" s="2001"/>
      <c r="Y38" s="2002"/>
      <c r="Z38" s="1081"/>
      <c r="AA38" s="1078"/>
      <c r="AC38" s="2003"/>
      <c r="AD38" s="1070"/>
    </row>
    <row r="39" spans="1:30" ht="15" customHeight="1">
      <c r="A39" s="1925"/>
      <c r="B39" s="1926"/>
      <c r="C39" s="1927"/>
      <c r="D39" s="1072"/>
      <c r="E39" s="1867">
        <v>1</v>
      </c>
      <c r="F39" s="1868"/>
      <c r="G39" s="1871"/>
      <c r="H39" s="1872"/>
      <c r="I39" s="1872"/>
      <c r="J39" s="1873"/>
      <c r="K39" s="1842"/>
      <c r="L39" s="1842"/>
      <c r="M39" s="1842"/>
      <c r="N39" s="1842"/>
      <c r="O39" s="1842"/>
      <c r="P39" s="1842"/>
      <c r="Q39" s="1864"/>
      <c r="R39" s="1842"/>
      <c r="S39" s="1842"/>
      <c r="T39" s="1842"/>
      <c r="U39" s="1842"/>
      <c r="V39" s="1842"/>
      <c r="W39" s="1842"/>
      <c r="X39" s="1842"/>
      <c r="Y39" s="1843"/>
      <c r="Z39" s="1081"/>
      <c r="AA39" s="1078"/>
      <c r="AC39" s="2003"/>
      <c r="AD39" s="1070"/>
    </row>
    <row r="40" spans="1:30" ht="15" customHeight="1">
      <c r="A40" s="1925"/>
      <c r="B40" s="1926"/>
      <c r="C40" s="1927"/>
      <c r="D40" s="1072"/>
      <c r="E40" s="1867">
        <v>2</v>
      </c>
      <c r="F40" s="1868"/>
      <c r="G40" s="1871"/>
      <c r="H40" s="1872"/>
      <c r="I40" s="1872"/>
      <c r="J40" s="1873"/>
      <c r="K40" s="1842"/>
      <c r="L40" s="1842"/>
      <c r="M40" s="1842"/>
      <c r="N40" s="1842"/>
      <c r="O40" s="1842"/>
      <c r="P40" s="1842"/>
      <c r="Q40" s="1864"/>
      <c r="R40" s="1842"/>
      <c r="S40" s="1842"/>
      <c r="T40" s="1842"/>
      <c r="U40" s="1842"/>
      <c r="V40" s="1842"/>
      <c r="W40" s="1842"/>
      <c r="X40" s="1842"/>
      <c r="Y40" s="1843"/>
      <c r="Z40" s="1081"/>
      <c r="AA40" s="1078"/>
      <c r="AC40" s="2003"/>
      <c r="AD40" s="1070"/>
    </row>
    <row r="41" spans="1:30" ht="15" customHeight="1">
      <c r="A41" s="1925"/>
      <c r="B41" s="1926"/>
      <c r="C41" s="1927"/>
      <c r="D41" s="1072"/>
      <c r="E41" s="1867">
        <v>3</v>
      </c>
      <c r="F41" s="1868"/>
      <c r="G41" s="1871"/>
      <c r="H41" s="1872"/>
      <c r="I41" s="1872"/>
      <c r="J41" s="1873"/>
      <c r="K41" s="1842"/>
      <c r="L41" s="1842"/>
      <c r="M41" s="1842"/>
      <c r="N41" s="1842"/>
      <c r="O41" s="1842"/>
      <c r="P41" s="1842"/>
      <c r="Q41" s="1864"/>
      <c r="R41" s="1842"/>
      <c r="S41" s="1842"/>
      <c r="T41" s="1842"/>
      <c r="U41" s="1842"/>
      <c r="V41" s="1842"/>
      <c r="W41" s="1842"/>
      <c r="X41" s="1842"/>
      <c r="Y41" s="1843"/>
      <c r="Z41" s="1081"/>
      <c r="AA41" s="1078"/>
      <c r="AC41" s="2003"/>
      <c r="AD41" s="1070"/>
    </row>
    <row r="42" spans="1:30" ht="15" customHeight="1">
      <c r="A42" s="1925"/>
      <c r="B42" s="1926"/>
      <c r="C42" s="1927"/>
      <c r="D42" s="1072"/>
      <c r="E42" s="1867">
        <v>4</v>
      </c>
      <c r="F42" s="1868"/>
      <c r="G42" s="1871"/>
      <c r="H42" s="1872"/>
      <c r="I42" s="1872"/>
      <c r="J42" s="1873"/>
      <c r="K42" s="1842"/>
      <c r="L42" s="1842"/>
      <c r="M42" s="1842"/>
      <c r="N42" s="1842"/>
      <c r="O42" s="1842"/>
      <c r="P42" s="1842"/>
      <c r="Q42" s="1864"/>
      <c r="R42" s="1842"/>
      <c r="S42" s="1842"/>
      <c r="T42" s="1842"/>
      <c r="U42" s="1842"/>
      <c r="V42" s="1842"/>
      <c r="W42" s="1842"/>
      <c r="X42" s="1842"/>
      <c r="Y42" s="1843"/>
      <c r="Z42" s="1081"/>
      <c r="AA42" s="1078"/>
      <c r="AC42" s="1008"/>
      <c r="AD42" s="1070"/>
    </row>
    <row r="43" spans="1:30" ht="15" customHeight="1">
      <c r="A43" s="1925"/>
      <c r="B43" s="1926"/>
      <c r="C43" s="1927"/>
      <c r="D43" s="1072"/>
      <c r="E43" s="1867">
        <v>5</v>
      </c>
      <c r="F43" s="1868"/>
      <c r="G43" s="1871"/>
      <c r="H43" s="1872"/>
      <c r="I43" s="1872"/>
      <c r="J43" s="1873"/>
      <c r="K43" s="1842"/>
      <c r="L43" s="1842"/>
      <c r="M43" s="1842"/>
      <c r="N43" s="1842"/>
      <c r="O43" s="1842"/>
      <c r="P43" s="1842"/>
      <c r="Q43" s="1864"/>
      <c r="R43" s="1842"/>
      <c r="S43" s="1842"/>
      <c r="T43" s="1842"/>
      <c r="U43" s="1842"/>
      <c r="V43" s="1842"/>
      <c r="W43" s="1842"/>
      <c r="X43" s="1842"/>
      <c r="Y43" s="1843"/>
      <c r="Z43" s="1081"/>
      <c r="AA43" s="1078"/>
      <c r="AC43" s="1008"/>
      <c r="AD43" s="1070"/>
    </row>
    <row r="44" spans="1:30" ht="15" customHeight="1">
      <c r="A44" s="1925"/>
      <c r="B44" s="1926"/>
      <c r="C44" s="1927"/>
      <c r="D44" s="1072"/>
      <c r="E44" s="1867">
        <v>6</v>
      </c>
      <c r="F44" s="1868"/>
      <c r="G44" s="1871"/>
      <c r="H44" s="1872"/>
      <c r="I44" s="1872"/>
      <c r="J44" s="1873"/>
      <c r="K44" s="1842"/>
      <c r="L44" s="1842"/>
      <c r="M44" s="1842"/>
      <c r="N44" s="1842"/>
      <c r="O44" s="1842"/>
      <c r="P44" s="1842"/>
      <c r="Q44" s="1864"/>
      <c r="R44" s="1842"/>
      <c r="S44" s="1842"/>
      <c r="T44" s="1842"/>
      <c r="U44" s="1842"/>
      <c r="V44" s="1842"/>
      <c r="W44" s="1842"/>
      <c r="X44" s="1842"/>
      <c r="Y44" s="1843"/>
      <c r="Z44" s="1081"/>
      <c r="AA44" s="1078"/>
      <c r="AC44" s="1008"/>
      <c r="AD44" s="1070"/>
    </row>
    <row r="45" spans="1:30" ht="15" customHeight="1">
      <c r="A45" s="1925"/>
      <c r="B45" s="1926"/>
      <c r="C45" s="1927"/>
      <c r="D45" s="1072"/>
      <c r="E45" s="1867">
        <v>7</v>
      </c>
      <c r="F45" s="1868"/>
      <c r="G45" s="1871"/>
      <c r="H45" s="1872"/>
      <c r="I45" s="1872"/>
      <c r="J45" s="1873"/>
      <c r="K45" s="1842"/>
      <c r="L45" s="1842"/>
      <c r="M45" s="1842"/>
      <c r="N45" s="1842"/>
      <c r="O45" s="1842"/>
      <c r="P45" s="1842"/>
      <c r="Q45" s="1864"/>
      <c r="R45" s="1842"/>
      <c r="S45" s="1842"/>
      <c r="T45" s="1842"/>
      <c r="U45" s="1842"/>
      <c r="V45" s="1842"/>
      <c r="W45" s="1842"/>
      <c r="X45" s="1842"/>
      <c r="Y45" s="1843"/>
      <c r="Z45" s="1081"/>
      <c r="AA45" s="1078"/>
      <c r="AC45" s="1008"/>
      <c r="AD45" s="1070"/>
    </row>
    <row r="46" spans="1:30" ht="15" customHeight="1">
      <c r="A46" s="1925"/>
      <c r="B46" s="1926"/>
      <c r="C46" s="1927"/>
      <c r="D46" s="1072"/>
      <c r="E46" s="1867">
        <v>8</v>
      </c>
      <c r="F46" s="1868"/>
      <c r="G46" s="1871"/>
      <c r="H46" s="1872"/>
      <c r="I46" s="1872"/>
      <c r="J46" s="1873"/>
      <c r="K46" s="1842"/>
      <c r="L46" s="1842"/>
      <c r="M46" s="1842"/>
      <c r="N46" s="1842"/>
      <c r="O46" s="1842"/>
      <c r="P46" s="1842"/>
      <c r="Q46" s="1864"/>
      <c r="R46" s="1842"/>
      <c r="S46" s="1842"/>
      <c r="T46" s="1842"/>
      <c r="U46" s="1842"/>
      <c r="V46" s="1842"/>
      <c r="W46" s="1842"/>
      <c r="X46" s="1842"/>
      <c r="Y46" s="1843"/>
      <c r="Z46" s="1081"/>
      <c r="AA46" s="1078"/>
      <c r="AC46" s="1008"/>
      <c r="AD46" s="1070"/>
    </row>
    <row r="47" spans="1:30" ht="15" customHeight="1">
      <c r="A47" s="1925"/>
      <c r="B47" s="1926"/>
      <c r="C47" s="1927"/>
      <c r="D47" s="1072"/>
      <c r="E47" s="1867">
        <v>9</v>
      </c>
      <c r="F47" s="1868"/>
      <c r="G47" s="1871"/>
      <c r="H47" s="1872"/>
      <c r="I47" s="1872"/>
      <c r="J47" s="1873"/>
      <c r="K47" s="1842"/>
      <c r="L47" s="1842"/>
      <c r="M47" s="1842"/>
      <c r="N47" s="1842"/>
      <c r="O47" s="1842"/>
      <c r="P47" s="1842"/>
      <c r="Q47" s="1864"/>
      <c r="R47" s="1842"/>
      <c r="S47" s="1842"/>
      <c r="T47" s="1842"/>
      <c r="U47" s="1842"/>
      <c r="V47" s="1842"/>
      <c r="W47" s="1842"/>
      <c r="X47" s="1842"/>
      <c r="Y47" s="1843"/>
      <c r="Z47" s="1081"/>
      <c r="AA47" s="1078"/>
      <c r="AC47" s="1008"/>
      <c r="AD47" s="1070"/>
    </row>
    <row r="48" spans="1:30" ht="15" customHeight="1">
      <c r="A48" s="1925"/>
      <c r="B48" s="1926"/>
      <c r="C48" s="1927"/>
      <c r="D48" s="1072"/>
      <c r="E48" s="1867">
        <v>10</v>
      </c>
      <c r="F48" s="1868"/>
      <c r="G48" s="1871"/>
      <c r="H48" s="1872"/>
      <c r="I48" s="1872"/>
      <c r="J48" s="1873"/>
      <c r="K48" s="1842"/>
      <c r="L48" s="1842"/>
      <c r="M48" s="1842"/>
      <c r="N48" s="1842"/>
      <c r="O48" s="1842"/>
      <c r="P48" s="1842"/>
      <c r="Q48" s="1864"/>
      <c r="R48" s="1842"/>
      <c r="S48" s="1842"/>
      <c r="T48" s="1842"/>
      <c r="U48" s="1842"/>
      <c r="V48" s="1842"/>
      <c r="W48" s="1842"/>
      <c r="X48" s="1842"/>
      <c r="Y48" s="1843"/>
      <c r="Z48" s="1081"/>
      <c r="AA48" s="1078"/>
      <c r="AC48" s="1008"/>
      <c r="AD48" s="1070"/>
    </row>
    <row r="49" spans="1:30" ht="15" customHeight="1">
      <c r="A49" s="1925"/>
      <c r="B49" s="1926"/>
      <c r="C49" s="1927"/>
      <c r="D49" s="1072"/>
      <c r="E49" s="1867">
        <v>11</v>
      </c>
      <c r="F49" s="1868"/>
      <c r="G49" s="1871"/>
      <c r="H49" s="1872"/>
      <c r="I49" s="1872"/>
      <c r="J49" s="1873"/>
      <c r="K49" s="1842"/>
      <c r="L49" s="1842"/>
      <c r="M49" s="1842"/>
      <c r="N49" s="1842"/>
      <c r="O49" s="1842"/>
      <c r="P49" s="1842"/>
      <c r="Q49" s="1864"/>
      <c r="R49" s="1842"/>
      <c r="S49" s="1842"/>
      <c r="T49" s="1842"/>
      <c r="U49" s="1842"/>
      <c r="V49" s="1842"/>
      <c r="W49" s="1842"/>
      <c r="X49" s="1842"/>
      <c r="Y49" s="1843"/>
      <c r="Z49" s="1081"/>
      <c r="AA49" s="1078"/>
      <c r="AC49" s="1008"/>
      <c r="AD49" s="1070"/>
    </row>
    <row r="50" spans="1:30" ht="15" customHeight="1">
      <c r="A50" s="1925"/>
      <c r="B50" s="1926"/>
      <c r="C50" s="1927"/>
      <c r="D50" s="1072"/>
      <c r="E50" s="1867">
        <v>12</v>
      </c>
      <c r="F50" s="1868"/>
      <c r="G50" s="1871"/>
      <c r="H50" s="1872"/>
      <c r="I50" s="1872"/>
      <c r="J50" s="1873"/>
      <c r="K50" s="1842"/>
      <c r="L50" s="1842"/>
      <c r="M50" s="1842"/>
      <c r="N50" s="1842"/>
      <c r="O50" s="1842"/>
      <c r="P50" s="1842"/>
      <c r="Q50" s="1864"/>
      <c r="R50" s="1842"/>
      <c r="S50" s="1842"/>
      <c r="T50" s="1842"/>
      <c r="U50" s="1842"/>
      <c r="V50" s="1842"/>
      <c r="W50" s="1842"/>
      <c r="X50" s="1842"/>
      <c r="Y50" s="1843"/>
      <c r="Z50" s="1081"/>
      <c r="AA50" s="1078"/>
      <c r="AC50" s="1008"/>
      <c r="AD50" s="1070"/>
    </row>
    <row r="51" spans="1:30" ht="15" customHeight="1">
      <c r="A51" s="1925"/>
      <c r="B51" s="1926"/>
      <c r="C51" s="1927"/>
      <c r="D51" s="1072"/>
      <c r="E51" s="1867">
        <v>13</v>
      </c>
      <c r="F51" s="1868"/>
      <c r="G51" s="1871"/>
      <c r="H51" s="1872"/>
      <c r="I51" s="1872"/>
      <c r="J51" s="1873"/>
      <c r="K51" s="1842"/>
      <c r="L51" s="1842"/>
      <c r="M51" s="1842"/>
      <c r="N51" s="1842"/>
      <c r="O51" s="1842"/>
      <c r="P51" s="1842"/>
      <c r="Q51" s="1864"/>
      <c r="R51" s="1842"/>
      <c r="S51" s="1842"/>
      <c r="T51" s="1842"/>
      <c r="U51" s="1842"/>
      <c r="V51" s="1842"/>
      <c r="W51" s="1842"/>
      <c r="X51" s="1842"/>
      <c r="Y51" s="1843"/>
      <c r="Z51" s="1081"/>
      <c r="AA51" s="1078"/>
      <c r="AC51" s="1008"/>
      <c r="AD51" s="1070"/>
    </row>
    <row r="52" spans="1:30" ht="15" customHeight="1">
      <c r="A52" s="1925"/>
      <c r="B52" s="1926"/>
      <c r="C52" s="1927"/>
      <c r="D52" s="1072"/>
      <c r="E52" s="1867">
        <v>14</v>
      </c>
      <c r="F52" s="1868"/>
      <c r="G52" s="1871"/>
      <c r="H52" s="1872"/>
      <c r="I52" s="1872"/>
      <c r="J52" s="1873"/>
      <c r="K52" s="1842"/>
      <c r="L52" s="1842"/>
      <c r="M52" s="1842"/>
      <c r="N52" s="1842"/>
      <c r="O52" s="1842"/>
      <c r="P52" s="1842"/>
      <c r="Q52" s="1864"/>
      <c r="R52" s="1842"/>
      <c r="S52" s="1842"/>
      <c r="T52" s="1842"/>
      <c r="U52" s="1842"/>
      <c r="V52" s="1842"/>
      <c r="W52" s="1842"/>
      <c r="X52" s="1842"/>
      <c r="Y52" s="1843"/>
      <c r="Z52" s="1081"/>
      <c r="AA52" s="1078"/>
      <c r="AC52" s="1008"/>
      <c r="AD52" s="1070"/>
    </row>
    <row r="53" spans="1:30" ht="15" customHeight="1">
      <c r="A53" s="1925"/>
      <c r="B53" s="1926"/>
      <c r="C53" s="1927"/>
      <c r="D53" s="1072"/>
      <c r="E53" s="1869">
        <v>15</v>
      </c>
      <c r="F53" s="1870"/>
      <c r="G53" s="1983"/>
      <c r="H53" s="1904"/>
      <c r="I53" s="1904"/>
      <c r="J53" s="1984"/>
      <c r="K53" s="1865"/>
      <c r="L53" s="1865"/>
      <c r="M53" s="1865"/>
      <c r="N53" s="1865"/>
      <c r="O53" s="1865"/>
      <c r="P53" s="1865"/>
      <c r="Q53" s="1866"/>
      <c r="R53" s="1865"/>
      <c r="S53" s="1865"/>
      <c r="T53" s="1865"/>
      <c r="U53" s="1865"/>
      <c r="V53" s="1865"/>
      <c r="W53" s="1865"/>
      <c r="X53" s="1865"/>
      <c r="Y53" s="1874"/>
      <c r="Z53" s="1081"/>
      <c r="AA53" s="1078"/>
      <c r="AC53" s="1008"/>
      <c r="AD53" s="1070"/>
    </row>
    <row r="54" spans="1:30" ht="15" customHeight="1">
      <c r="A54" s="1925"/>
      <c r="B54" s="1926"/>
      <c r="C54" s="1927"/>
      <c r="D54" s="1072"/>
      <c r="E54" s="1844" t="s">
        <v>15</v>
      </c>
      <c r="F54" s="1844"/>
      <c r="G54" s="1844"/>
      <c r="H54" s="1844"/>
      <c r="I54" s="1844"/>
      <c r="J54" s="1845"/>
      <c r="K54" s="1854">
        <f>SUM(R39:Y53)</f>
        <v>0</v>
      </c>
      <c r="L54" s="1855"/>
      <c r="M54" s="1855"/>
      <c r="N54" s="1855"/>
      <c r="O54" s="1855"/>
      <c r="P54" s="1855"/>
      <c r="Q54" s="1850" t="s">
        <v>417</v>
      </c>
      <c r="R54" s="1851"/>
      <c r="S54" s="1858" t="s">
        <v>1162</v>
      </c>
      <c r="T54" s="1859"/>
      <c r="U54" s="1859"/>
      <c r="V54" s="1862" t="e">
        <f>K54/【様式2】職員名簿!F5</f>
        <v>#DIV/0!</v>
      </c>
      <c r="W54" s="1862"/>
      <c r="X54" s="1862"/>
      <c r="Y54" s="1848" t="s">
        <v>28</v>
      </c>
      <c r="Z54" s="1081"/>
      <c r="AA54" s="1078"/>
      <c r="AC54" s="1008"/>
      <c r="AD54" s="1070"/>
    </row>
    <row r="55" spans="1:30" ht="15" customHeight="1">
      <c r="A55" s="1925"/>
      <c r="B55" s="1926"/>
      <c r="C55" s="1927"/>
      <c r="D55" s="1071"/>
      <c r="E55" s="1846"/>
      <c r="F55" s="1846"/>
      <c r="G55" s="1846"/>
      <c r="H55" s="1846"/>
      <c r="I55" s="1846"/>
      <c r="J55" s="1847"/>
      <c r="K55" s="1856"/>
      <c r="L55" s="1857"/>
      <c r="M55" s="1857"/>
      <c r="N55" s="1857"/>
      <c r="O55" s="1857"/>
      <c r="P55" s="1857"/>
      <c r="Q55" s="1852"/>
      <c r="R55" s="1853"/>
      <c r="S55" s="1860"/>
      <c r="T55" s="1861"/>
      <c r="U55" s="1861"/>
      <c r="V55" s="1863"/>
      <c r="W55" s="1863"/>
      <c r="X55" s="1863"/>
      <c r="Y55" s="1849"/>
      <c r="Z55" s="1081"/>
      <c r="AA55" s="1078"/>
      <c r="AC55" s="1008"/>
      <c r="AD55" s="1070"/>
    </row>
    <row r="56" spans="1:30" ht="15" customHeight="1">
      <c r="AC56" s="1008"/>
      <c r="AD56" s="1070"/>
    </row>
  </sheetData>
  <sheetProtection algorithmName="SHA-512" hashValue="D4icrjPjEMfU2CYZTqUp3S9y6FTmRsNTtnlwW9I52ej24dwCUp/bBA1sacuZVOcE6BmDW8vwlQPE5t+7gaWKSA==" saltValue="01d+f5iT5hxNzd0jPAwwhw==" spinCount="100000" sheet="1" objects="1" scenarios="1"/>
  <mergeCells count="185">
    <mergeCell ref="AC21:AC23"/>
    <mergeCell ref="AC24:AC41"/>
    <mergeCell ref="H11:K11"/>
    <mergeCell ref="W7:X7"/>
    <mergeCell ref="W8:X8"/>
    <mergeCell ref="L5:Y5"/>
    <mergeCell ref="L6:Y6"/>
    <mergeCell ref="D18:S18"/>
    <mergeCell ref="T18:Y18"/>
    <mergeCell ref="H14:K14"/>
    <mergeCell ref="H15:K15"/>
    <mergeCell ref="D14:G15"/>
    <mergeCell ref="N32:P32"/>
    <mergeCell ref="I32:L32"/>
    <mergeCell ref="E25:M27"/>
    <mergeCell ref="AC7:AC8"/>
    <mergeCell ref="AC9:AC10"/>
    <mergeCell ref="AC11:AC12"/>
    <mergeCell ref="AC13:AC14"/>
    <mergeCell ref="AC15:AC16"/>
    <mergeCell ref="Z23:AA24"/>
    <mergeCell ref="D23:Y23"/>
    <mergeCell ref="H7:K7"/>
    <mergeCell ref="D12:G13"/>
    <mergeCell ref="H12:K12"/>
    <mergeCell ref="H13:K13"/>
    <mergeCell ref="E44:F44"/>
    <mergeCell ref="E45:F45"/>
    <mergeCell ref="E46:F46"/>
    <mergeCell ref="G52:J52"/>
    <mergeCell ref="G53:J53"/>
    <mergeCell ref="I28:L28"/>
    <mergeCell ref="E28:H28"/>
    <mergeCell ref="K39:Q39"/>
    <mergeCell ref="K40:Q40"/>
    <mergeCell ref="K41:Q41"/>
    <mergeCell ref="K42:Q42"/>
    <mergeCell ref="G37:Y37"/>
    <mergeCell ref="E47:F47"/>
    <mergeCell ref="E29:H29"/>
    <mergeCell ref="E30:H30"/>
    <mergeCell ref="E31:H31"/>
    <mergeCell ref="E32:H32"/>
    <mergeCell ref="G39:J39"/>
    <mergeCell ref="T30:V31"/>
    <mergeCell ref="G38:J38"/>
    <mergeCell ref="K38:Q38"/>
    <mergeCell ref="R38:Y38"/>
    <mergeCell ref="D7:G8"/>
    <mergeCell ref="H10:K10"/>
    <mergeCell ref="Z9:AA9"/>
    <mergeCell ref="A9:C9"/>
    <mergeCell ref="Z31:AA32"/>
    <mergeCell ref="Z29:AA30"/>
    <mergeCell ref="A12:C13"/>
    <mergeCell ref="A14:C15"/>
    <mergeCell ref="A19:C19"/>
    <mergeCell ref="A20:C22"/>
    <mergeCell ref="A18:C18"/>
    <mergeCell ref="D19:S19"/>
    <mergeCell ref="D20:S22"/>
    <mergeCell ref="Q25:S27"/>
    <mergeCell ref="Z20:AA22"/>
    <mergeCell ref="N25:P27"/>
    <mergeCell ref="Y28:Y29"/>
    <mergeCell ref="Y30:Y31"/>
    <mergeCell ref="W28:X29"/>
    <mergeCell ref="W30:X31"/>
    <mergeCell ref="N31:P31"/>
    <mergeCell ref="I31:L31"/>
    <mergeCell ref="I30:L30"/>
    <mergeCell ref="R8:S8"/>
    <mergeCell ref="A2:Z2"/>
    <mergeCell ref="R1:Z1"/>
    <mergeCell ref="D5:K5"/>
    <mergeCell ref="D6:K6"/>
    <mergeCell ref="A3:Z3"/>
    <mergeCell ref="D10:G11"/>
    <mergeCell ref="T19:Y19"/>
    <mergeCell ref="A6:C6"/>
    <mergeCell ref="A4:AA4"/>
    <mergeCell ref="Z5:AA5"/>
    <mergeCell ref="Z6:AA6"/>
    <mergeCell ref="Z7:AA8"/>
    <mergeCell ref="Z10:AA11"/>
    <mergeCell ref="Z12:AA13"/>
    <mergeCell ref="Z14:AA15"/>
    <mergeCell ref="A17:AA17"/>
    <mergeCell ref="Z18:AA18"/>
    <mergeCell ref="Z19:AA19"/>
    <mergeCell ref="O7:P7"/>
    <mergeCell ref="O8:P8"/>
    <mergeCell ref="R7:S7"/>
    <mergeCell ref="L7:M7"/>
    <mergeCell ref="L8:M8"/>
    <mergeCell ref="H8:K8"/>
    <mergeCell ref="A5:C5"/>
    <mergeCell ref="T7:U7"/>
    <mergeCell ref="T8:U8"/>
    <mergeCell ref="A7:C8"/>
    <mergeCell ref="A10:C11"/>
    <mergeCell ref="E40:F40"/>
    <mergeCell ref="E41:F41"/>
    <mergeCell ref="E42:F42"/>
    <mergeCell ref="N28:P28"/>
    <mergeCell ref="E24:H24"/>
    <mergeCell ref="L10:X10"/>
    <mergeCell ref="L11:X11"/>
    <mergeCell ref="L12:X12"/>
    <mergeCell ref="L13:X13"/>
    <mergeCell ref="L14:X14"/>
    <mergeCell ref="L15:X15"/>
    <mergeCell ref="I29:L29"/>
    <mergeCell ref="A23:C55"/>
    <mergeCell ref="D9:K9"/>
    <mergeCell ref="S9:X9"/>
    <mergeCell ref="L9:R9"/>
    <mergeCell ref="T20:Y22"/>
    <mergeCell ref="T25:Y27"/>
    <mergeCell ref="E43:F43"/>
    <mergeCell ref="Q29:R29"/>
    <mergeCell ref="Q30:R30"/>
    <mergeCell ref="Q31:R31"/>
    <mergeCell ref="N29:P29"/>
    <mergeCell ref="N30:P30"/>
    <mergeCell ref="E38:F38"/>
    <mergeCell ref="Q32:R32"/>
    <mergeCell ref="E39:F39"/>
    <mergeCell ref="T28:V29"/>
    <mergeCell ref="Q28:R28"/>
    <mergeCell ref="R39:Y39"/>
    <mergeCell ref="W32:X32"/>
    <mergeCell ref="S35:Y35"/>
    <mergeCell ref="E35:F35"/>
    <mergeCell ref="E37:F37"/>
    <mergeCell ref="G35:R35"/>
    <mergeCell ref="G40:J40"/>
    <mergeCell ref="G41:J41"/>
    <mergeCell ref="G42:J42"/>
    <mergeCell ref="G43:J43"/>
    <mergeCell ref="G44:J44"/>
    <mergeCell ref="G45:J45"/>
    <mergeCell ref="G46:J46"/>
    <mergeCell ref="G47:J47"/>
    <mergeCell ref="G48:J48"/>
    <mergeCell ref="R48:Y48"/>
    <mergeCell ref="R49:Y49"/>
    <mergeCell ref="R50:Y50"/>
    <mergeCell ref="E48:F48"/>
    <mergeCell ref="E49:F49"/>
    <mergeCell ref="E50:F50"/>
    <mergeCell ref="E51:F51"/>
    <mergeCell ref="E52:F52"/>
    <mergeCell ref="E53:F53"/>
    <mergeCell ref="G49:J49"/>
    <mergeCell ref="G50:J50"/>
    <mergeCell ref="G51:J51"/>
    <mergeCell ref="R53:Y53"/>
    <mergeCell ref="R52:Y52"/>
    <mergeCell ref="K49:Q49"/>
    <mergeCell ref="K50:Q50"/>
    <mergeCell ref="R40:Y40"/>
    <mergeCell ref="R41:Y41"/>
    <mergeCell ref="R42:Y42"/>
    <mergeCell ref="R43:Y43"/>
    <mergeCell ref="R44:Y44"/>
    <mergeCell ref="R45:Y45"/>
    <mergeCell ref="R46:Y46"/>
    <mergeCell ref="R47:Y47"/>
    <mergeCell ref="E54:J55"/>
    <mergeCell ref="Y54:Y55"/>
    <mergeCell ref="Q54:R55"/>
    <mergeCell ref="K54:P55"/>
    <mergeCell ref="S54:U55"/>
    <mergeCell ref="V54:X55"/>
    <mergeCell ref="K43:Q43"/>
    <mergeCell ref="K44:Q44"/>
    <mergeCell ref="K45:Q45"/>
    <mergeCell ref="K46:Q46"/>
    <mergeCell ref="K47:Q47"/>
    <mergeCell ref="K48:Q48"/>
    <mergeCell ref="K51:Q51"/>
    <mergeCell ref="K52:Q52"/>
    <mergeCell ref="K53:Q53"/>
    <mergeCell ref="R51:Y51"/>
  </mergeCells>
  <phoneticPr fontId="1"/>
  <conditionalFormatting sqref="Z6:Z7 Z9:Z10 Z12 Z14 Z19:Z20 D36:Y36 Z26:AA28 Z29 Z33:AA33 Z36:AA55">
    <cfRule type="containsText" dxfId="63" priority="10" operator="containsText" text="×">
      <formula>NOT(ISERROR(SEARCH("×",D6)))</formula>
    </cfRule>
  </conditionalFormatting>
  <conditionalFormatting sqref="Z31">
    <cfRule type="containsText" dxfId="62" priority="6" operator="containsText" text="×">
      <formula>NOT(ISERROR(SEARCH("×",Z31)))</formula>
    </cfRule>
  </conditionalFormatting>
  <conditionalFormatting sqref="Z23">
    <cfRule type="containsText" dxfId="61" priority="3" operator="containsText" text="×">
      <formula>NOT(ISERROR(SEARCH("×",Z23)))</formula>
    </cfRule>
  </conditionalFormatting>
  <conditionalFormatting sqref="G39:Y53">
    <cfRule type="expression" dxfId="60" priority="2">
      <formula>$L$15=$AI$3</formula>
    </cfRule>
  </conditionalFormatting>
  <conditionalFormatting sqref="E33">
    <cfRule type="expression" dxfId="59" priority="1">
      <formula>$I$32=$AL$16</formula>
    </cfRule>
  </conditionalFormatting>
  <dataValidations count="9">
    <dataValidation type="list" allowBlank="1" showInputMessage="1" sqref="L12" xr:uid="{00000000-0002-0000-0800-000000000000}">
      <formula1>$AG$2:$AG$6</formula1>
    </dataValidation>
    <dataValidation type="list" allowBlank="1" showInputMessage="1" showErrorMessage="1" sqref="L14" xr:uid="{00000000-0002-0000-0800-000001000000}">
      <formula1>$AH$2:$AH$4</formula1>
    </dataValidation>
    <dataValidation type="list" errorStyle="warning" allowBlank="1" showInputMessage="1" showErrorMessage="1" sqref="W7:W8 O7:O8" xr:uid="{00000000-0002-0000-0800-000002000000}">
      <formula1>$AE$2:$AE$6</formula1>
    </dataValidation>
    <dataValidation type="list" allowBlank="1" showInputMessage="1" showErrorMessage="1" sqref="L10" xr:uid="{00000000-0002-0000-0800-000003000000}">
      <formula1>$AF$2:$AF$4</formula1>
    </dataValidation>
    <dataValidation type="list" allowBlank="1" showInputMessage="1" showErrorMessage="1" sqref="L15:L16 M16:X16" xr:uid="{00000000-0002-0000-0800-000004000000}">
      <formula1>$AI$2:$AI$5</formula1>
    </dataValidation>
    <dataValidation type="whole" operator="greaterThanOrEqual" allowBlank="1" showInputMessage="1" showErrorMessage="1" sqref="L11" xr:uid="{00000000-0002-0000-0800-000005000000}">
      <formula1>0</formula1>
    </dataValidation>
    <dataValidation type="list" allowBlank="1" showInputMessage="1" showErrorMessage="1" sqref="T19:Y22" xr:uid="{00000000-0002-0000-0800-000006000000}">
      <formula1>$AK$2:$AK$4</formula1>
    </dataValidation>
    <dataValidation type="list" allowBlank="1" showInputMessage="1" showErrorMessage="1" sqref="L7:L8 T7:T8" xr:uid="{00000000-0002-0000-0800-000007000000}">
      <formula1>$AD$2:$AD$26</formula1>
    </dataValidation>
    <dataValidation type="list" allowBlank="1" showInputMessage="1" showErrorMessage="1" sqref="G39:I53" xr:uid="{00000000-0002-0000-0800-000008000000}">
      <formula1>$AJ$2:$AJ$4</formula1>
    </dataValidation>
  </dataValidations>
  <pageMargins left="0.7" right="0.7" top="0.75" bottom="0.75" header="0.3" footer="0.3"/>
  <pageSetup paperSize="9" scale="94"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4" operator="notEqual" id="{CA9BE8FE-B6C3-412B-AFE4-4F48127B0710}">
            <xm:f>HLOOKUP(【様式１】総括表・個票!$I$10,【様式１】総括表・個票!$F$91:$AC$93,3,FALSE)</xm:f>
            <x14:dxf>
              <fill>
                <patternFill>
                  <bgColor rgb="FFFF0000"/>
                </patternFill>
              </fill>
            </x14:dxf>
          </x14:cfRule>
          <xm:sqref>I32:L32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tabColor rgb="FF00B0F0"/>
  </sheetPr>
  <dimension ref="A1:AE83"/>
  <sheetViews>
    <sheetView view="pageBreakPreview" zoomScale="85" zoomScaleNormal="100" zoomScaleSheetLayoutView="85" workbookViewId="0">
      <selection activeCell="J26" sqref="J26:K26"/>
    </sheetView>
  </sheetViews>
  <sheetFormatPr defaultColWidth="9" defaultRowHeight="13.5" outlineLevelCol="1"/>
  <cols>
    <col min="1" max="16" width="7.625" style="374" customWidth="1"/>
    <col min="17" max="17" width="53" style="374" customWidth="1"/>
    <col min="18" max="18" width="18.75" style="374" hidden="1" customWidth="1" outlineLevel="1"/>
    <col min="19" max="30" width="9" style="374" hidden="1" customWidth="1" outlineLevel="1"/>
    <col min="31" max="31" width="9" style="374" collapsed="1"/>
    <col min="32" max="16384" width="9" style="374"/>
  </cols>
  <sheetData>
    <row r="1" spans="1:20" ht="23.1" customHeight="1">
      <c r="A1" s="372" t="s">
        <v>1116</v>
      </c>
      <c r="B1" s="373"/>
      <c r="C1" s="373"/>
      <c r="D1" s="373"/>
      <c r="E1" s="373"/>
      <c r="F1" s="373"/>
      <c r="G1" s="373"/>
      <c r="H1" s="373"/>
      <c r="I1" s="373"/>
      <c r="J1" s="373"/>
      <c r="K1" s="373"/>
      <c r="L1" s="2024" t="str">
        <f>$R$2&amp;"別紙6-1"&amp;$R$3</f>
        <v>加-23_月申-別紙6-1-保_Ver.2.01</v>
      </c>
      <c r="M1" s="2024"/>
      <c r="N1" s="2024"/>
      <c r="O1" s="2024"/>
      <c r="P1" s="2024"/>
      <c r="R1" s="190" t="s">
        <v>1018</v>
      </c>
      <c r="S1" s="375" t="s">
        <v>84</v>
      </c>
      <c r="T1" s="375" t="s">
        <v>1021</v>
      </c>
    </row>
    <row r="2" spans="1:20" ht="23.1" customHeight="1">
      <c r="A2" s="373"/>
      <c r="B2" s="373"/>
      <c r="C2" s="373"/>
      <c r="D2" s="373"/>
      <c r="E2" s="373"/>
      <c r="F2" s="373"/>
      <c r="G2" s="373"/>
      <c r="H2" s="373"/>
      <c r="I2" s="373"/>
      <c r="J2" s="373"/>
      <c r="K2" s="373"/>
      <c r="L2" s="2025" t="e">
        <f>DATE(【様式１】総括表・個票!S213,【様式１】総括表・個票!X213,【様式１】総括表・個票!AA213)</f>
        <v>#NUM!</v>
      </c>
      <c r="M2" s="2025"/>
      <c r="N2" s="2025"/>
      <c r="O2" s="2025"/>
      <c r="P2" s="2025"/>
      <c r="R2" s="190" t="str">
        <f>【様式１】総括表・個票!$AJ$2</f>
        <v>加-23_月申-</v>
      </c>
      <c r="S2" s="97"/>
      <c r="T2" s="375">
        <f>【様式１】総括表・個票!$AK$2</f>
        <v>2023</v>
      </c>
    </row>
    <row r="3" spans="1:20" ht="23.1" customHeight="1">
      <c r="A3" s="373"/>
      <c r="B3" s="373"/>
      <c r="C3" s="373"/>
      <c r="D3" s="373"/>
      <c r="E3" s="373"/>
      <c r="F3" s="373"/>
      <c r="G3" s="373"/>
      <c r="H3" s="373"/>
      <c r="I3" s="373"/>
      <c r="J3" s="373"/>
      <c r="K3" s="373"/>
      <c r="L3" s="373"/>
      <c r="M3" s="373"/>
      <c r="N3" s="373"/>
      <c r="O3" s="373"/>
      <c r="P3" s="373"/>
      <c r="R3" s="190" t="str">
        <f>【様式１】総括表・個票!$AJ$3</f>
        <v>-保_Ver.2.01</v>
      </c>
      <c r="S3" s="99">
        <v>4</v>
      </c>
    </row>
    <row r="4" spans="1:20" ht="23.1" customHeight="1">
      <c r="A4" s="373"/>
      <c r="B4" s="373" t="s">
        <v>1026</v>
      </c>
      <c r="C4" s="373"/>
      <c r="D4" s="373"/>
      <c r="E4" s="373"/>
      <c r="F4" s="373"/>
      <c r="G4" s="373"/>
      <c r="H4" s="373"/>
      <c r="I4" s="373"/>
      <c r="J4" s="373"/>
      <c r="K4" s="373"/>
      <c r="L4" s="373"/>
      <c r="M4" s="373"/>
      <c r="N4" s="373"/>
      <c r="O4" s="373"/>
      <c r="P4" s="373"/>
      <c r="S4" s="99">
        <v>5</v>
      </c>
    </row>
    <row r="5" spans="1:20" ht="23.1" customHeight="1">
      <c r="A5" s="373"/>
      <c r="B5" s="373"/>
      <c r="C5" s="373"/>
      <c r="D5" s="373"/>
      <c r="E5" s="373"/>
      <c r="F5" s="373"/>
      <c r="G5" s="373"/>
      <c r="H5" s="373"/>
      <c r="I5" s="373"/>
      <c r="J5" s="373"/>
      <c r="K5" s="373"/>
      <c r="L5" s="373"/>
      <c r="M5" s="373"/>
      <c r="N5" s="373"/>
      <c r="O5" s="373"/>
      <c r="P5" s="373"/>
      <c r="S5" s="99">
        <v>6</v>
      </c>
    </row>
    <row r="6" spans="1:20" ht="23.1" customHeight="1">
      <c r="A6" s="373"/>
      <c r="B6" s="373"/>
      <c r="C6" s="373"/>
      <c r="D6" s="373"/>
      <c r="E6" s="373"/>
      <c r="F6" s="373"/>
      <c r="G6" s="373"/>
      <c r="H6" s="373"/>
      <c r="I6" s="2026" t="s">
        <v>834</v>
      </c>
      <c r="J6" s="373" t="s">
        <v>835</v>
      </c>
      <c r="K6" s="2027" t="str">
        <f>CONCATENATE(【様式１】総括表・個票!S6)</f>
        <v/>
      </c>
      <c r="L6" s="2027"/>
      <c r="M6" s="2027"/>
      <c r="N6" s="2027"/>
      <c r="O6" s="2027"/>
      <c r="P6" s="373"/>
      <c r="S6" s="99">
        <v>7</v>
      </c>
    </row>
    <row r="7" spans="1:20" ht="23.1" customHeight="1">
      <c r="A7" s="373"/>
      <c r="B7" s="373"/>
      <c r="C7" s="373"/>
      <c r="D7" s="373"/>
      <c r="E7" s="373"/>
      <c r="F7" s="373"/>
      <c r="G7" s="373"/>
      <c r="H7" s="373"/>
      <c r="I7" s="2026"/>
      <c r="J7" s="373" t="s">
        <v>836</v>
      </c>
      <c r="K7" s="2027" t="str">
        <f>CONCATENATE(【様式１】総括表・個票!S7)</f>
        <v/>
      </c>
      <c r="L7" s="2027"/>
      <c r="M7" s="2027"/>
      <c r="N7" s="2027"/>
      <c r="O7" s="2027"/>
      <c r="P7" s="373"/>
      <c r="S7" s="99">
        <v>8</v>
      </c>
    </row>
    <row r="8" spans="1:20" ht="23.1" customHeight="1">
      <c r="A8" s="373"/>
      <c r="B8" s="373"/>
      <c r="C8" s="373"/>
      <c r="D8" s="373"/>
      <c r="E8" s="373"/>
      <c r="F8" s="373"/>
      <c r="G8" s="373"/>
      <c r="H8" s="373"/>
      <c r="I8" s="373"/>
      <c r="J8" s="373"/>
      <c r="K8" s="373"/>
      <c r="L8" s="373"/>
      <c r="M8" s="373"/>
      <c r="N8" s="373"/>
      <c r="O8" s="944"/>
      <c r="P8" s="373"/>
      <c r="S8" s="99">
        <v>9</v>
      </c>
    </row>
    <row r="9" spans="1:20" ht="23.1" customHeight="1">
      <c r="A9" s="373"/>
      <c r="B9" s="373"/>
      <c r="C9" s="373"/>
      <c r="D9" s="373"/>
      <c r="E9" s="373"/>
      <c r="F9" s="373"/>
      <c r="G9" s="373"/>
      <c r="H9" s="373"/>
      <c r="I9" s="373"/>
      <c r="J9" s="373"/>
      <c r="K9" s="373"/>
      <c r="L9" s="373"/>
      <c r="M9" s="373"/>
      <c r="N9" s="373"/>
      <c r="O9" s="373"/>
      <c r="P9" s="373"/>
      <c r="S9" s="99">
        <v>10</v>
      </c>
    </row>
    <row r="10" spans="1:20" ht="23.1" customHeight="1">
      <c r="A10" s="373"/>
      <c r="B10" s="373"/>
      <c r="C10" s="373"/>
      <c r="D10" s="2023" t="s">
        <v>859</v>
      </c>
      <c r="E10" s="2023"/>
      <c r="F10" s="2023"/>
      <c r="G10" s="2023"/>
      <c r="H10" s="2023"/>
      <c r="I10" s="2023"/>
      <c r="J10" s="2023"/>
      <c r="K10" s="2023"/>
      <c r="L10" s="2023"/>
      <c r="M10" s="2023"/>
      <c r="N10" s="373"/>
      <c r="O10" s="373"/>
      <c r="P10" s="373"/>
      <c r="S10" s="99">
        <v>11</v>
      </c>
    </row>
    <row r="11" spans="1:20" ht="23.1" customHeight="1">
      <c r="A11" s="373"/>
      <c r="B11" s="373"/>
      <c r="C11" s="373"/>
      <c r="D11" s="373"/>
      <c r="E11" s="373"/>
      <c r="F11" s="373"/>
      <c r="G11" s="373"/>
      <c r="H11" s="373"/>
      <c r="I11" s="373"/>
      <c r="J11" s="373"/>
      <c r="K11" s="373"/>
      <c r="L11" s="373"/>
      <c r="M11" s="373"/>
      <c r="N11" s="373"/>
      <c r="O11" s="373"/>
      <c r="P11" s="373"/>
      <c r="S11" s="99">
        <v>1</v>
      </c>
    </row>
    <row r="12" spans="1:20" ht="23.1" customHeight="1">
      <c r="A12" s="2028" t="str">
        <f>"　保育の提供について、５年度間常に２・３号認定こどもの利用定員を超えており、かつ、年間平均在所率が120%以上の状態にありましたが、"&amp;【様式１】総括表・個票!AK2&amp;"年度についてはこの状態を解消できる見込みであるため、下記のとおり申し出いたします。"</f>
        <v>　保育の提供について、５年度間常に２・３号認定こどもの利用定員を超えており、かつ、年間平均在所率が120%以上の状態にありましたが、2023年度についてはこの状態を解消できる見込みであるため、下記のとおり申し出いたします。</v>
      </c>
      <c r="B12" s="2028"/>
      <c r="C12" s="2028"/>
      <c r="D12" s="2028"/>
      <c r="E12" s="2028"/>
      <c r="F12" s="2028"/>
      <c r="G12" s="2028"/>
      <c r="H12" s="2028"/>
      <c r="I12" s="2028"/>
      <c r="J12" s="2028"/>
      <c r="K12" s="2028"/>
      <c r="L12" s="2028"/>
      <c r="M12" s="2028"/>
      <c r="N12" s="2028"/>
      <c r="O12" s="2028"/>
      <c r="P12" s="2028"/>
      <c r="S12" s="97">
        <v>2</v>
      </c>
    </row>
    <row r="13" spans="1:20" ht="23.1" customHeight="1">
      <c r="A13" s="2028"/>
      <c r="B13" s="2028"/>
      <c r="C13" s="2028"/>
      <c r="D13" s="2028"/>
      <c r="E13" s="2028"/>
      <c r="F13" s="2028"/>
      <c r="G13" s="2028"/>
      <c r="H13" s="2028"/>
      <c r="I13" s="2028"/>
      <c r="J13" s="2028"/>
      <c r="K13" s="2028"/>
      <c r="L13" s="2028"/>
      <c r="M13" s="2028"/>
      <c r="N13" s="2028"/>
      <c r="O13" s="2028"/>
      <c r="P13" s="2028"/>
      <c r="S13" s="97">
        <v>3</v>
      </c>
    </row>
    <row r="14" spans="1:20" ht="23.1" customHeight="1">
      <c r="A14" s="2028"/>
      <c r="B14" s="2028"/>
      <c r="C14" s="2028"/>
      <c r="D14" s="2028"/>
      <c r="E14" s="2028"/>
      <c r="F14" s="2028"/>
      <c r="G14" s="2028"/>
      <c r="H14" s="2028"/>
      <c r="I14" s="2028"/>
      <c r="J14" s="2028"/>
      <c r="K14" s="2028"/>
      <c r="L14" s="2028"/>
      <c r="M14" s="2028"/>
      <c r="N14" s="2028"/>
      <c r="O14" s="2028"/>
      <c r="P14" s="2028"/>
    </row>
    <row r="15" spans="1:20" ht="23.1" customHeight="1">
      <c r="A15" s="2028"/>
      <c r="B15" s="2028"/>
      <c r="C15" s="2028"/>
      <c r="D15" s="2028"/>
      <c r="E15" s="2028"/>
      <c r="F15" s="2028"/>
      <c r="G15" s="2028"/>
      <c r="H15" s="2028"/>
      <c r="I15" s="2028"/>
      <c r="J15" s="2028"/>
      <c r="K15" s="2028"/>
      <c r="L15" s="2028"/>
      <c r="M15" s="2028"/>
      <c r="N15" s="2028"/>
      <c r="O15" s="2028"/>
      <c r="P15" s="2028"/>
    </row>
    <row r="16" spans="1:20" ht="23.1" customHeight="1">
      <c r="A16" s="2029" t="s">
        <v>837</v>
      </c>
      <c r="B16" s="2029"/>
      <c r="C16" s="2029"/>
      <c r="D16" s="2029"/>
      <c r="E16" s="2029"/>
      <c r="F16" s="2029"/>
      <c r="G16" s="2029"/>
      <c r="H16" s="2029"/>
      <c r="I16" s="2029"/>
      <c r="J16" s="2029"/>
      <c r="K16" s="2029"/>
      <c r="L16" s="2029"/>
      <c r="M16" s="2029"/>
      <c r="N16" s="2029"/>
      <c r="O16" s="2029"/>
      <c r="P16" s="2029"/>
    </row>
    <row r="17" spans="1:29" ht="23.1" customHeight="1">
      <c r="A17" s="373"/>
      <c r="B17" s="373"/>
      <c r="C17" s="373"/>
      <c r="D17" s="373"/>
      <c r="E17" s="373"/>
      <c r="F17" s="373"/>
      <c r="G17" s="373"/>
      <c r="H17" s="373"/>
      <c r="I17" s="373"/>
      <c r="J17" s="373"/>
      <c r="K17" s="373"/>
      <c r="L17" s="373"/>
      <c r="M17" s="373"/>
      <c r="N17" s="373"/>
      <c r="O17" s="373"/>
      <c r="P17" s="373"/>
    </row>
    <row r="18" spans="1:29" ht="23.1" customHeight="1">
      <c r="A18" s="2030" t="s">
        <v>838</v>
      </c>
      <c r="B18" s="2030"/>
      <c r="C18" s="2030"/>
      <c r="D18" s="2030"/>
      <c r="E18" s="2030"/>
      <c r="F18" s="373"/>
      <c r="G18" s="373"/>
      <c r="H18" s="373"/>
      <c r="I18" s="373"/>
      <c r="J18" s="373"/>
      <c r="K18" s="373"/>
      <c r="L18" s="373"/>
      <c r="M18" s="373"/>
      <c r="N18" s="373"/>
      <c r="O18" s="373"/>
      <c r="P18" s="373"/>
    </row>
    <row r="19" spans="1:29" ht="23.1" customHeight="1">
      <c r="A19" s="373"/>
      <c r="B19" s="2031">
        <f>【様式１】総括表・個票!D12</f>
        <v>0</v>
      </c>
      <c r="C19" s="2031"/>
      <c r="D19" s="2031"/>
      <c r="E19" s="2031"/>
      <c r="F19" s="2031"/>
      <c r="G19" s="2031"/>
      <c r="H19" s="376"/>
      <c r="I19" s="376"/>
      <c r="J19" s="376"/>
      <c r="K19" s="376"/>
      <c r="L19" s="376"/>
      <c r="M19" s="376"/>
      <c r="N19" s="376"/>
      <c r="O19" s="376"/>
      <c r="P19" s="373"/>
    </row>
    <row r="20" spans="1:29" ht="23.1" customHeight="1">
      <c r="A20" s="373"/>
      <c r="B20" s="373"/>
      <c r="C20" s="373"/>
      <c r="D20" s="373"/>
      <c r="E20" s="373"/>
      <c r="F20" s="373"/>
      <c r="G20" s="373"/>
      <c r="H20" s="373"/>
      <c r="I20" s="373"/>
      <c r="J20" s="373"/>
      <c r="K20" s="373"/>
      <c r="L20" s="373"/>
      <c r="M20" s="373"/>
      <c r="N20" s="373"/>
      <c r="O20" s="373"/>
      <c r="P20" s="373"/>
    </row>
    <row r="21" spans="1:29" ht="23.1" customHeight="1">
      <c r="A21" s="2030" t="s">
        <v>1112</v>
      </c>
      <c r="B21" s="2030"/>
      <c r="C21" s="2030"/>
      <c r="D21" s="2030"/>
      <c r="E21" s="2030"/>
      <c r="F21" s="373"/>
      <c r="G21" s="373"/>
      <c r="H21" s="373"/>
      <c r="I21" s="373"/>
      <c r="J21" s="373"/>
      <c r="K21" s="373"/>
      <c r="L21" s="373"/>
      <c r="M21" s="373"/>
      <c r="N21" s="373"/>
      <c r="O21" s="373"/>
      <c r="P21" s="373"/>
    </row>
    <row r="22" spans="1:29" ht="23.1" customHeight="1">
      <c r="A22" s="373"/>
      <c r="B22" s="2022" t="str">
        <f>CONCATENATE(【様式１】総括表・個票!S214)</f>
        <v/>
      </c>
      <c r="C22" s="2022"/>
      <c r="D22" s="2022"/>
      <c r="E22" s="2022"/>
      <c r="F22" s="2022"/>
      <c r="G22" s="2022"/>
      <c r="H22" s="377"/>
      <c r="I22" s="377"/>
      <c r="J22" s="377"/>
      <c r="K22" s="377"/>
      <c r="L22" s="377"/>
      <c r="M22" s="377"/>
      <c r="N22" s="377"/>
      <c r="O22" s="377"/>
      <c r="P22" s="373"/>
      <c r="R22" s="946" t="str">
        <f>IF(B22&lt;&gt;"","○","")</f>
        <v/>
      </c>
    </row>
    <row r="23" spans="1:29" ht="23.1" customHeight="1">
      <c r="A23" s="373"/>
      <c r="B23" s="377"/>
      <c r="C23" s="377"/>
      <c r="D23" s="377"/>
      <c r="E23" s="377"/>
      <c r="F23" s="373"/>
      <c r="G23" s="373"/>
      <c r="H23" s="373"/>
      <c r="I23" s="373"/>
      <c r="J23" s="373"/>
      <c r="K23" s="373"/>
      <c r="L23" s="373"/>
      <c r="M23" s="373"/>
      <c r="N23" s="373"/>
      <c r="O23" s="373"/>
      <c r="P23" s="373"/>
    </row>
    <row r="24" spans="1:29" ht="23.1" customHeight="1">
      <c r="A24" s="373"/>
      <c r="B24" s="377" t="s">
        <v>839</v>
      </c>
      <c r="C24" s="377"/>
      <c r="D24" s="377"/>
      <c r="E24" s="377"/>
      <c r="F24" s="373"/>
      <c r="G24" s="373"/>
      <c r="H24" s="373"/>
      <c r="I24" s="373"/>
      <c r="J24" s="373"/>
      <c r="K24" s="373"/>
      <c r="L24" s="373"/>
      <c r="M24" s="373"/>
      <c r="N24" s="373"/>
      <c r="O24" s="373"/>
      <c r="P24" s="373"/>
    </row>
    <row r="25" spans="1:29" ht="23.1" customHeight="1">
      <c r="A25" s="373"/>
      <c r="B25" s="2026" t="str">
        <f>IF($R$22="○","見直し前","定員")</f>
        <v>定員</v>
      </c>
      <c r="C25" s="2026"/>
      <c r="D25" s="2035">
        <f>SUM(【様式１】総括表・個票!R14:S15)</f>
        <v>0</v>
      </c>
      <c r="E25" s="2035"/>
      <c r="F25" s="373" t="s">
        <v>10</v>
      </c>
      <c r="G25" s="373"/>
      <c r="H25" s="373"/>
      <c r="I25" s="373"/>
      <c r="J25" s="373"/>
      <c r="K25" s="373"/>
      <c r="L25" s="373"/>
      <c r="M25" s="373"/>
      <c r="N25" s="373"/>
      <c r="O25" s="373"/>
      <c r="P25" s="373"/>
      <c r="R25" s="375">
        <f>D25</f>
        <v>0</v>
      </c>
    </row>
    <row r="26" spans="1:29" ht="23.1" customHeight="1">
      <c r="A26" s="373"/>
      <c r="B26" s="2026" t="str">
        <f>IF($R$22="○","見直し後","")</f>
        <v/>
      </c>
      <c r="C26" s="2026"/>
      <c r="D26" s="2036"/>
      <c r="E26" s="2036"/>
      <c r="F26" s="373" t="str">
        <f>IF($R$22="○","人","")</f>
        <v/>
      </c>
      <c r="G26" s="2026" t="str">
        <f>IF($R$22="○","（見直した月","")</f>
        <v/>
      </c>
      <c r="H26" s="2026"/>
      <c r="I26" s="2026"/>
      <c r="J26" s="2034"/>
      <c r="K26" s="2034"/>
      <c r="L26" s="373" t="str">
        <f>IF($R$22="○","月）","")</f>
        <v/>
      </c>
      <c r="M26" s="373"/>
      <c r="N26" s="373"/>
      <c r="O26" s="373"/>
      <c r="P26" s="373"/>
      <c r="R26" s="375">
        <f>IF(D26="",R25,D26)</f>
        <v>0</v>
      </c>
      <c r="S26" s="378">
        <f>IF(OR(J26="",J26=0),12,IF(J26&gt;=4,J26-3,J26+9))</f>
        <v>12</v>
      </c>
    </row>
    <row r="27" spans="1:29" ht="23.1" customHeight="1">
      <c r="A27" s="373"/>
      <c r="B27" s="373"/>
      <c r="C27" s="373"/>
      <c r="D27" s="373"/>
      <c r="E27" s="373"/>
      <c r="F27" s="373"/>
      <c r="G27" s="373"/>
      <c r="H27" s="373"/>
      <c r="I27" s="373"/>
      <c r="J27" s="373"/>
      <c r="K27" s="373"/>
      <c r="L27" s="373"/>
      <c r="M27" s="373"/>
      <c r="N27" s="373"/>
      <c r="O27" s="373"/>
      <c r="P27" s="373"/>
    </row>
    <row r="28" spans="1:29" ht="23.1" customHeight="1">
      <c r="A28" s="373"/>
      <c r="B28" s="373" t="s">
        <v>840</v>
      </c>
      <c r="C28" s="373"/>
      <c r="D28" s="373"/>
      <c r="E28" s="373"/>
      <c r="F28" s="373"/>
      <c r="G28" s="373"/>
      <c r="H28" s="373"/>
      <c r="I28" s="373"/>
      <c r="J28" s="373"/>
      <c r="K28" s="373"/>
      <c r="L28" s="373"/>
      <c r="M28" s="373"/>
      <c r="N28" s="373"/>
      <c r="O28" s="373"/>
      <c r="P28" s="373"/>
    </row>
    <row r="29" spans="1:29" ht="23.1" customHeight="1">
      <c r="A29" s="373"/>
      <c r="B29" s="373" t="s">
        <v>1025</v>
      </c>
      <c r="C29" s="373"/>
      <c r="D29" s="373"/>
      <c r="E29" s="373"/>
      <c r="F29" s="373"/>
      <c r="G29" s="373"/>
      <c r="H29" s="373"/>
      <c r="I29" s="373"/>
      <c r="J29" s="373"/>
      <c r="K29" s="373"/>
      <c r="L29" s="373"/>
      <c r="M29" s="373"/>
      <c r="N29" s="373"/>
      <c r="O29" s="373"/>
      <c r="P29" s="373"/>
    </row>
    <row r="30" spans="1:29" ht="23.1" customHeight="1" thickBot="1">
      <c r="A30" s="373"/>
      <c r="B30" s="373" t="s">
        <v>1119</v>
      </c>
      <c r="C30" s="373"/>
      <c r="D30" s="373"/>
      <c r="E30" s="373"/>
      <c r="F30" s="373"/>
      <c r="G30" s="373"/>
      <c r="H30" s="373"/>
      <c r="I30" s="373"/>
      <c r="J30" s="373"/>
      <c r="K30" s="373"/>
      <c r="L30" s="373"/>
      <c r="M30" s="373"/>
      <c r="N30" s="373"/>
      <c r="O30" s="373"/>
      <c r="P30" s="373"/>
      <c r="R30" s="945" t="s">
        <v>49</v>
      </c>
      <c r="S30" s="945" t="s">
        <v>50</v>
      </c>
      <c r="T30" s="945" t="s">
        <v>51</v>
      </c>
      <c r="U30" s="945" t="s">
        <v>52</v>
      </c>
      <c r="V30" s="945" t="s">
        <v>53</v>
      </c>
      <c r="W30" s="945" t="s">
        <v>54</v>
      </c>
      <c r="X30" s="945" t="s">
        <v>55</v>
      </c>
      <c r="Y30" s="945" t="s">
        <v>56</v>
      </c>
      <c r="Z30" s="945" t="s">
        <v>57</v>
      </c>
      <c r="AA30" s="945" t="s">
        <v>58</v>
      </c>
      <c r="AB30" s="945" t="s">
        <v>59</v>
      </c>
      <c r="AC30" s="945" t="s">
        <v>60</v>
      </c>
    </row>
    <row r="31" spans="1:29" ht="23.1" customHeight="1">
      <c r="A31" s="373"/>
      <c r="B31" s="2037" t="s">
        <v>1122</v>
      </c>
      <c r="C31" s="2037"/>
      <c r="D31" s="379" t="s">
        <v>49</v>
      </c>
      <c r="E31" s="380" t="s">
        <v>50</v>
      </c>
      <c r="F31" s="380" t="s">
        <v>51</v>
      </c>
      <c r="G31" s="380" t="s">
        <v>52</v>
      </c>
      <c r="H31" s="380" t="s">
        <v>53</v>
      </c>
      <c r="I31" s="380" t="s">
        <v>54</v>
      </c>
      <c r="J31" s="380" t="s">
        <v>55</v>
      </c>
      <c r="K31" s="380" t="s">
        <v>56</v>
      </c>
      <c r="L31" s="380" t="s">
        <v>57</v>
      </c>
      <c r="M31" s="380" t="s">
        <v>58</v>
      </c>
      <c r="N31" s="380" t="s">
        <v>59</v>
      </c>
      <c r="O31" s="381" t="s">
        <v>60</v>
      </c>
      <c r="P31" s="382" t="s">
        <v>15</v>
      </c>
      <c r="R31" s="375">
        <v>1</v>
      </c>
      <c r="S31" s="375">
        <v>2</v>
      </c>
      <c r="T31" s="375">
        <v>3</v>
      </c>
      <c r="U31" s="375">
        <v>4</v>
      </c>
      <c r="V31" s="375">
        <v>5</v>
      </c>
      <c r="W31" s="375">
        <v>6</v>
      </c>
      <c r="X31" s="375">
        <v>7</v>
      </c>
      <c r="Y31" s="375">
        <v>8</v>
      </c>
      <c r="Z31" s="375">
        <v>9</v>
      </c>
      <c r="AA31" s="375">
        <v>10</v>
      </c>
      <c r="AB31" s="375">
        <v>11</v>
      </c>
      <c r="AC31" s="375">
        <v>12</v>
      </c>
    </row>
    <row r="32" spans="1:29" ht="23.1" customHeight="1">
      <c r="A32" s="373"/>
      <c r="B32" s="2032" t="s">
        <v>841</v>
      </c>
      <c r="C32" s="2032"/>
      <c r="D32" s="383">
        <f t="shared" ref="D32:O32" si="0">IF($S$26&gt;R31,$R$25,$R$26)</f>
        <v>0</v>
      </c>
      <c r="E32" s="384">
        <f t="shared" si="0"/>
        <v>0</v>
      </c>
      <c r="F32" s="384">
        <f t="shared" si="0"/>
        <v>0</v>
      </c>
      <c r="G32" s="384">
        <f t="shared" si="0"/>
        <v>0</v>
      </c>
      <c r="H32" s="384">
        <f t="shared" si="0"/>
        <v>0</v>
      </c>
      <c r="I32" s="384">
        <f t="shared" si="0"/>
        <v>0</v>
      </c>
      <c r="J32" s="384">
        <f t="shared" si="0"/>
        <v>0</v>
      </c>
      <c r="K32" s="384">
        <f t="shared" si="0"/>
        <v>0</v>
      </c>
      <c r="L32" s="384">
        <f t="shared" si="0"/>
        <v>0</v>
      </c>
      <c r="M32" s="384">
        <f t="shared" si="0"/>
        <v>0</v>
      </c>
      <c r="N32" s="384">
        <f t="shared" si="0"/>
        <v>0</v>
      </c>
      <c r="O32" s="385">
        <f t="shared" si="0"/>
        <v>0</v>
      </c>
      <c r="P32" s="386">
        <f>SUM(D32:O32)</f>
        <v>0</v>
      </c>
      <c r="R32" s="375" t="e">
        <f>ROUNDDOWN(SUM(D33:F33)/SUM(D32:F32),2)</f>
        <v>#DIV/0!</v>
      </c>
      <c r="S32" s="375" t="e">
        <f t="shared" ref="S32:AA32" si="1">ROUNDDOWN(SUM(E33:G33)/SUM(E32:G32),2)</f>
        <v>#DIV/0!</v>
      </c>
      <c r="T32" s="375" t="e">
        <f t="shared" si="1"/>
        <v>#DIV/0!</v>
      </c>
      <c r="U32" s="375" t="e">
        <f t="shared" si="1"/>
        <v>#DIV/0!</v>
      </c>
      <c r="V32" s="375" t="e">
        <f t="shared" si="1"/>
        <v>#DIV/0!</v>
      </c>
      <c r="W32" s="375" t="e">
        <f t="shared" si="1"/>
        <v>#DIV/0!</v>
      </c>
      <c r="X32" s="375" t="e">
        <f t="shared" si="1"/>
        <v>#DIV/0!</v>
      </c>
      <c r="Y32" s="375" t="e">
        <f t="shared" si="1"/>
        <v>#DIV/0!</v>
      </c>
      <c r="Z32" s="375" t="e">
        <f t="shared" si="1"/>
        <v>#DIV/0!</v>
      </c>
      <c r="AA32" s="375" t="e">
        <f t="shared" si="1"/>
        <v>#DIV/0!</v>
      </c>
      <c r="AB32" s="375" t="e">
        <f>ROUNDDOWN(SUM(N33:O33)/SUM(N32:O32),2)</f>
        <v>#DIV/0!</v>
      </c>
      <c r="AC32" s="375" t="e">
        <f>ROUNDDOWN(SUM(O33:O33)/SUM(O32:O32),2)</f>
        <v>#DIV/0!</v>
      </c>
    </row>
    <row r="33" spans="1:29" ht="23.1" customHeight="1">
      <c r="A33" s="373"/>
      <c r="B33" s="2033" t="s">
        <v>842</v>
      </c>
      <c r="C33" s="2033"/>
      <c r="D33" s="387"/>
      <c r="E33" s="388"/>
      <c r="F33" s="388"/>
      <c r="G33" s="388"/>
      <c r="H33" s="388"/>
      <c r="I33" s="388"/>
      <c r="J33" s="388"/>
      <c r="K33" s="388"/>
      <c r="L33" s="388"/>
      <c r="M33" s="388"/>
      <c r="N33" s="388"/>
      <c r="O33" s="389"/>
      <c r="P33" s="390">
        <f>SUM(D33:O33)</f>
        <v>0</v>
      </c>
      <c r="R33" s="2038" t="s">
        <v>92</v>
      </c>
      <c r="S33" s="2038"/>
      <c r="T33" s="2038"/>
      <c r="U33" s="2038"/>
      <c r="V33" s="2038"/>
      <c r="W33" s="2038"/>
      <c r="X33" s="2038"/>
      <c r="Y33" s="2038"/>
      <c r="Z33" s="2038"/>
      <c r="AA33" s="2038"/>
      <c r="AB33" s="2038"/>
      <c r="AC33" s="2038"/>
    </row>
    <row r="34" spans="1:29" ht="23.1" customHeight="1" thickBot="1">
      <c r="A34" s="373"/>
      <c r="B34" s="2033" t="s">
        <v>843</v>
      </c>
      <c r="C34" s="2033"/>
      <c r="D34" s="391" t="str">
        <f>IF(D33="","未入力",IF(D33&gt;D32,"○","×"))</f>
        <v>未入力</v>
      </c>
      <c r="E34" s="392" t="str">
        <f t="shared" ref="E34:O34" si="2">IF(E33="","未入力",IF(E33&gt;E32,"○","×"))</f>
        <v>未入力</v>
      </c>
      <c r="F34" s="393" t="str">
        <f t="shared" si="2"/>
        <v>未入力</v>
      </c>
      <c r="G34" s="393" t="str">
        <f t="shared" si="2"/>
        <v>未入力</v>
      </c>
      <c r="H34" s="393" t="str">
        <f t="shared" si="2"/>
        <v>未入力</v>
      </c>
      <c r="I34" s="393" t="str">
        <f t="shared" si="2"/>
        <v>未入力</v>
      </c>
      <c r="J34" s="393" t="str">
        <f t="shared" si="2"/>
        <v>未入力</v>
      </c>
      <c r="K34" s="393" t="str">
        <f t="shared" si="2"/>
        <v>未入力</v>
      </c>
      <c r="L34" s="393" t="str">
        <f t="shared" si="2"/>
        <v>未入力</v>
      </c>
      <c r="M34" s="393" t="str">
        <f t="shared" si="2"/>
        <v>未入力</v>
      </c>
      <c r="N34" s="393" t="str">
        <f t="shared" si="2"/>
        <v>未入力</v>
      </c>
      <c r="O34" s="394" t="str">
        <f t="shared" si="2"/>
        <v>未入力</v>
      </c>
      <c r="P34" s="395" t="e">
        <f>SUM(R34:AC34)</f>
        <v>#DIV/0!</v>
      </c>
      <c r="R34" s="946" t="e">
        <f>IF($D$35&gt;=1.2,IF(COUNTIF($D34:D34,"○")=R31,1,0),0)</f>
        <v>#DIV/0!</v>
      </c>
      <c r="S34" s="946" t="e">
        <f>IF($D$35&gt;=1.2,IF(COUNTIF($D34:E34,"○")=S31,1,0),0)</f>
        <v>#DIV/0!</v>
      </c>
      <c r="T34" s="946" t="e">
        <f>IF($D$35&gt;=1.2,IF(COUNTIF($D34:F34,"○")=T31,1,0),0)</f>
        <v>#DIV/0!</v>
      </c>
      <c r="U34" s="946" t="e">
        <f>IF($D$35&gt;=1.2,IF(COUNTIF($D34:G34,"○")=U31,1,0),0)</f>
        <v>#DIV/0!</v>
      </c>
      <c r="V34" s="946" t="e">
        <f>IF($D$35&gt;=1.2,IF(COUNTIF($D34:H34,"○")=V31,1,0),0)</f>
        <v>#DIV/0!</v>
      </c>
      <c r="W34" s="946" t="e">
        <f>IF($D$35&gt;=1.2,IF(COUNTIF($D34:I34,"○")=W31,1,0),0)</f>
        <v>#DIV/0!</v>
      </c>
      <c r="X34" s="946" t="e">
        <f>IF($D$35&gt;=1.2,IF(COUNTIF($D34:J34,"○")=X31,1,0),0)</f>
        <v>#DIV/0!</v>
      </c>
      <c r="Y34" s="946" t="e">
        <f>IF($D$35&gt;=1.2,IF(COUNTIF($D34:K34,"○")=Y31,1,0),0)</f>
        <v>#DIV/0!</v>
      </c>
      <c r="Z34" s="946" t="e">
        <f>IF($D$35&gt;=1.2,IF(COUNTIF($D34:L34,"○")=Z31,1,0),0)</f>
        <v>#DIV/0!</v>
      </c>
      <c r="AA34" s="946" t="e">
        <f>IF($D$35&gt;=1.2,IF(COUNTIF($D34:M34,"○")=AA31,1,0),0)</f>
        <v>#DIV/0!</v>
      </c>
      <c r="AB34" s="946" t="e">
        <f>IF($D$35&gt;=1.2,IF(COUNTIF($D34:N34,"○")=AB31,1,0),0)</f>
        <v>#DIV/0!</v>
      </c>
      <c r="AC34" s="946" t="e">
        <f>IF($D$35&gt;=1.2,IF(COUNTIF($D34:O34,"○")=AC31,1,0),0)</f>
        <v>#DIV/0!</v>
      </c>
    </row>
    <row r="35" spans="1:29" ht="23.1" customHeight="1">
      <c r="A35" s="373"/>
      <c r="B35" s="2056" t="s">
        <v>1020</v>
      </c>
      <c r="C35" s="2057"/>
      <c r="D35" s="2046" t="e">
        <f>ROUNDDOWN(P33/P32,2)</f>
        <v>#DIV/0!</v>
      </c>
      <c r="E35" s="2047"/>
      <c r="F35" s="2040" t="e">
        <f>IF(D35&gt;=1.2,"➡不適切な申出です","")</f>
        <v>#DIV/0!</v>
      </c>
      <c r="G35" s="2040"/>
      <c r="H35" s="2040"/>
      <c r="I35" s="2040"/>
      <c r="J35" s="2042" t="str">
        <f>J26&amp;"月から"&amp;IF(J26=2,2,IF(J26=3,1,3))&amp;"か月間の平均在所率"</f>
        <v>月から3か月間の平均在所率</v>
      </c>
      <c r="K35" s="2043"/>
      <c r="L35" s="2046" t="e">
        <f>IFERROR(HLOOKUP($S$26,$R$31:$AC$32,2,FALSE),R32)</f>
        <v>#DIV/0!</v>
      </c>
      <c r="M35" s="2047"/>
      <c r="N35" s="2041" t="e">
        <f>IF(AND(T2&gt;=2022,L35&gt;=1.15),"➡不適切な申出です","")</f>
        <v>#DIV/0!</v>
      </c>
      <c r="O35" s="2041"/>
      <c r="P35" s="2041"/>
    </row>
    <row r="36" spans="1:29" ht="23.1" customHeight="1" thickBot="1">
      <c r="A36" s="373"/>
      <c r="B36" s="2058"/>
      <c r="C36" s="2059"/>
      <c r="D36" s="2048"/>
      <c r="E36" s="2049"/>
      <c r="F36" s="2041"/>
      <c r="G36" s="2041"/>
      <c r="H36" s="2041"/>
      <c r="I36" s="2041"/>
      <c r="J36" s="2044"/>
      <c r="K36" s="2045"/>
      <c r="L36" s="2048"/>
      <c r="M36" s="2049"/>
      <c r="N36" s="2041"/>
      <c r="O36" s="2041"/>
      <c r="P36" s="2041"/>
    </row>
    <row r="37" spans="1:29" ht="23.1" customHeight="1">
      <c r="A37" s="373"/>
      <c r="B37" s="396"/>
      <c r="C37" s="396"/>
      <c r="D37" s="396"/>
      <c r="E37" s="396"/>
      <c r="F37" s="373"/>
      <c r="G37" s="373"/>
      <c r="H37" s="373"/>
      <c r="I37" s="373"/>
      <c r="J37" s="373"/>
      <c r="K37" s="373"/>
      <c r="L37" s="373"/>
      <c r="M37" s="373"/>
      <c r="N37" s="373"/>
      <c r="O37" s="373"/>
      <c r="P37" s="373"/>
    </row>
    <row r="38" spans="1:29" ht="23.1" customHeight="1">
      <c r="A38" s="373"/>
      <c r="B38" s="373"/>
      <c r="C38" s="373"/>
      <c r="D38" s="373"/>
      <c r="E38" s="373"/>
      <c r="F38" s="373"/>
      <c r="G38" s="373"/>
      <c r="H38" s="373"/>
      <c r="I38" s="373"/>
      <c r="J38" s="373"/>
      <c r="K38" s="373"/>
      <c r="L38" s="373"/>
      <c r="M38" s="373"/>
      <c r="N38" s="376"/>
      <c r="O38" s="376"/>
      <c r="P38" s="373"/>
    </row>
    <row r="39" spans="1:29" ht="23.1" customHeight="1">
      <c r="A39" s="373"/>
      <c r="B39" s="2055" t="s">
        <v>1023</v>
      </c>
      <c r="C39" s="2055"/>
      <c r="D39" s="2055" t="str">
        <f>IFERROR(IF(OR(D35&gt;=1.2,AND(T2&gt;=2022,L35&gt;=1.15),COUNTIF(D34:O34,"未入力")&gt;=1),"×","○"),"×")</f>
        <v>×</v>
      </c>
      <c r="E39" s="2055"/>
      <c r="F39" s="373"/>
      <c r="G39" s="373"/>
      <c r="H39" s="373"/>
      <c r="I39" s="373"/>
      <c r="J39" s="373"/>
      <c r="K39" s="373"/>
      <c r="L39" s="373"/>
      <c r="M39" s="373"/>
      <c r="N39" s="376"/>
      <c r="O39" s="376"/>
      <c r="P39" s="373"/>
    </row>
    <row r="40" spans="1:29" ht="23.1" customHeight="1">
      <c r="A40" s="373"/>
      <c r="B40" s="373"/>
      <c r="C40" s="373"/>
      <c r="D40" s="373"/>
      <c r="E40" s="373"/>
      <c r="F40" s="373"/>
      <c r="G40" s="373"/>
      <c r="H40" s="373"/>
      <c r="I40" s="373"/>
      <c r="J40" s="373"/>
      <c r="K40" s="373"/>
      <c r="L40" s="373"/>
      <c r="M40" s="373"/>
      <c r="N40" s="376"/>
      <c r="O40" s="376"/>
      <c r="P40" s="373"/>
    </row>
    <row r="41" spans="1:29" ht="23.1" customHeight="1">
      <c r="A41" s="373"/>
      <c r="B41" s="373"/>
      <c r="C41" s="373"/>
      <c r="D41" s="373"/>
      <c r="E41" s="373"/>
      <c r="F41" s="373"/>
      <c r="G41" s="373"/>
      <c r="H41" s="373"/>
      <c r="I41" s="373"/>
      <c r="J41" s="373"/>
      <c r="K41" s="373"/>
      <c r="L41" s="373"/>
      <c r="M41" s="373"/>
      <c r="N41" s="376"/>
      <c r="O41" s="376"/>
      <c r="P41" s="373"/>
    </row>
    <row r="42" spans="1:29" ht="23.1" customHeight="1">
      <c r="A42" s="373"/>
      <c r="B42" s="373"/>
      <c r="C42" s="373"/>
      <c r="D42" s="373"/>
      <c r="E42" s="373"/>
      <c r="F42" s="373"/>
      <c r="G42" s="373"/>
      <c r="H42" s="373"/>
      <c r="I42" s="373"/>
      <c r="J42" s="373"/>
      <c r="K42" s="373"/>
      <c r="L42" s="373"/>
      <c r="M42" s="373"/>
      <c r="N42" s="376"/>
      <c r="O42" s="376"/>
      <c r="P42" s="373"/>
    </row>
    <row r="43" spans="1:29" ht="23.1" customHeight="1">
      <c r="A43" s="372" t="s">
        <v>845</v>
      </c>
      <c r="B43" s="396"/>
      <c r="C43" s="396"/>
      <c r="D43" s="396"/>
      <c r="E43" s="396"/>
      <c r="F43" s="396"/>
      <c r="G43" s="396"/>
      <c r="H43" s="396"/>
      <c r="I43" s="396"/>
      <c r="J43" s="396"/>
      <c r="K43" s="396"/>
      <c r="L43" s="2024" t="str">
        <f>$R$2&amp;"別紙6-2"&amp;$R$3</f>
        <v>加-23_月申-別紙6-2-保_Ver.2.01</v>
      </c>
      <c r="M43" s="2024"/>
      <c r="N43" s="2024"/>
      <c r="O43" s="2024"/>
      <c r="P43" s="2024"/>
    </row>
    <row r="44" spans="1:29" ht="23.1" customHeight="1">
      <c r="A44" s="373"/>
      <c r="B44" s="373"/>
      <c r="C44" s="373"/>
      <c r="D44" s="373"/>
      <c r="E44" s="373"/>
      <c r="F44" s="373"/>
      <c r="G44" s="373"/>
      <c r="H44" s="373"/>
      <c r="I44" s="373"/>
      <c r="J44" s="373"/>
      <c r="K44" s="373"/>
      <c r="L44" s="2039">
        <f>DATE(【様式１】総括表・個票!AK2+1,3,1)</f>
        <v>45352</v>
      </c>
      <c r="M44" s="2039"/>
      <c r="N44" s="2039"/>
      <c r="O44" s="2039"/>
      <c r="P44" s="2039"/>
    </row>
    <row r="45" spans="1:29" ht="23.1" customHeight="1">
      <c r="A45" s="373"/>
      <c r="B45" s="373"/>
      <c r="C45" s="373"/>
      <c r="D45" s="373"/>
      <c r="E45" s="373"/>
      <c r="F45" s="373"/>
      <c r="G45" s="373"/>
      <c r="H45" s="373"/>
      <c r="I45" s="373"/>
      <c r="J45" s="373"/>
      <c r="K45" s="373"/>
      <c r="L45" s="947"/>
      <c r="M45" s="947"/>
      <c r="N45" s="947"/>
      <c r="O45" s="947"/>
      <c r="P45" s="947"/>
    </row>
    <row r="46" spans="1:29" ht="23.1" customHeight="1">
      <c r="A46" s="373"/>
      <c r="B46" s="373" t="s">
        <v>1026</v>
      </c>
      <c r="C46" s="373"/>
      <c r="D46" s="373"/>
      <c r="E46" s="373"/>
      <c r="F46" s="373"/>
      <c r="G46" s="373"/>
      <c r="H46" s="373"/>
      <c r="I46" s="373"/>
      <c r="J46" s="373"/>
      <c r="K46" s="373"/>
      <c r="L46" s="373"/>
      <c r="M46" s="373"/>
      <c r="N46" s="373"/>
      <c r="O46" s="373"/>
      <c r="P46" s="373"/>
    </row>
    <row r="47" spans="1:29" ht="23.1" customHeight="1">
      <c r="A47" s="373"/>
      <c r="B47" s="373"/>
      <c r="C47" s="373"/>
      <c r="D47" s="373"/>
      <c r="E47" s="373"/>
      <c r="F47" s="373"/>
      <c r="G47" s="373"/>
      <c r="H47" s="373"/>
      <c r="I47" s="373"/>
      <c r="J47" s="373"/>
      <c r="K47" s="373"/>
      <c r="L47" s="373"/>
      <c r="M47" s="373"/>
      <c r="N47" s="373"/>
      <c r="O47" s="373"/>
      <c r="P47" s="373"/>
    </row>
    <row r="48" spans="1:29" ht="23.1" customHeight="1">
      <c r="A48" s="373"/>
      <c r="B48" s="373"/>
      <c r="C48" s="373"/>
      <c r="D48" s="373"/>
      <c r="E48" s="373"/>
      <c r="F48" s="373"/>
      <c r="G48" s="373"/>
      <c r="H48" s="373"/>
      <c r="I48" s="2026" t="s">
        <v>834</v>
      </c>
      <c r="J48" s="373" t="s">
        <v>835</v>
      </c>
      <c r="K48" s="2027" t="str">
        <f>CONCATENATE(K6)</f>
        <v/>
      </c>
      <c r="L48" s="2027"/>
      <c r="M48" s="2027"/>
      <c r="N48" s="2027"/>
      <c r="O48" s="2027"/>
      <c r="P48" s="373"/>
    </row>
    <row r="49" spans="1:18" ht="23.1" customHeight="1">
      <c r="A49" s="373"/>
      <c r="B49" s="373"/>
      <c r="C49" s="373"/>
      <c r="D49" s="373"/>
      <c r="E49" s="373"/>
      <c r="F49" s="373"/>
      <c r="G49" s="373"/>
      <c r="H49" s="373"/>
      <c r="I49" s="2026"/>
      <c r="J49" s="373" t="s">
        <v>836</v>
      </c>
      <c r="K49" s="2027" t="str">
        <f>CONCATENATE(K7)</f>
        <v/>
      </c>
      <c r="L49" s="2027"/>
      <c r="M49" s="2027"/>
      <c r="N49" s="2027"/>
      <c r="O49" s="2027"/>
      <c r="P49" s="373"/>
    </row>
    <row r="50" spans="1:18" ht="23.1" customHeight="1">
      <c r="A50" s="373"/>
      <c r="B50" s="373"/>
      <c r="C50" s="373"/>
      <c r="D50" s="373"/>
      <c r="E50" s="373"/>
      <c r="F50" s="373"/>
      <c r="G50" s="373"/>
      <c r="H50" s="373"/>
      <c r="I50" s="373"/>
      <c r="J50" s="373"/>
      <c r="K50" s="373"/>
      <c r="L50" s="373"/>
      <c r="M50" s="373"/>
      <c r="N50" s="373"/>
      <c r="O50" s="944"/>
      <c r="P50" s="373"/>
    </row>
    <row r="51" spans="1:18" ht="23.1" customHeight="1">
      <c r="A51" s="373"/>
      <c r="B51" s="373"/>
      <c r="C51" s="373"/>
      <c r="D51" s="373"/>
      <c r="E51" s="373"/>
      <c r="F51" s="373"/>
      <c r="G51" s="373"/>
      <c r="H51" s="373"/>
      <c r="I51" s="373"/>
      <c r="J51" s="373"/>
      <c r="K51" s="373"/>
      <c r="L51" s="373"/>
      <c r="M51" s="373"/>
      <c r="N51" s="373"/>
      <c r="O51" s="373"/>
      <c r="P51" s="373"/>
    </row>
    <row r="52" spans="1:18" ht="23.1" customHeight="1">
      <c r="A52" s="373"/>
      <c r="B52" s="373"/>
      <c r="C52" s="373"/>
      <c r="D52" s="2060" t="s">
        <v>858</v>
      </c>
      <c r="E52" s="2060"/>
      <c r="F52" s="2060"/>
      <c r="G52" s="2060"/>
      <c r="H52" s="2060"/>
      <c r="I52" s="2060"/>
      <c r="J52" s="2060"/>
      <c r="K52" s="2060"/>
      <c r="L52" s="2060"/>
      <c r="M52" s="2060"/>
      <c r="N52" s="373"/>
      <c r="O52" s="373"/>
      <c r="P52" s="373"/>
    </row>
    <row r="53" spans="1:18" ht="23.1" customHeight="1">
      <c r="A53" s="373"/>
      <c r="B53" s="373"/>
      <c r="C53" s="373"/>
      <c r="D53" s="373"/>
      <c r="E53" s="373"/>
      <c r="F53" s="373"/>
      <c r="G53" s="373"/>
      <c r="H53" s="373"/>
      <c r="I53" s="373"/>
      <c r="J53" s="373"/>
      <c r="K53" s="373"/>
      <c r="L53" s="373"/>
      <c r="M53" s="373"/>
      <c r="N53" s="373"/>
      <c r="O53" s="373"/>
      <c r="P53" s="373"/>
    </row>
    <row r="54" spans="1:18" ht="23.1" customHeight="1">
      <c r="A54" s="2028" t="str">
        <f>"　保育の提供について、５年度間常に２・３号認定こどもの利用定員を超えており、かつ、年間平均在所率が120%以上の状態にありましたが、"&amp;【様式１】総括表・個票!AK2&amp;"年度の実績について下記のとおりとなっておりますので報告いたします。"</f>
        <v>　保育の提供について、５年度間常に２・３号認定こどもの利用定員を超えており、かつ、年間平均在所率が120%以上の状態にありましたが、2023年度の実績について下記のとおりとなっておりますので報告いたします。</v>
      </c>
      <c r="B54" s="2028"/>
      <c r="C54" s="2028"/>
      <c r="D54" s="2028"/>
      <c r="E54" s="2028"/>
      <c r="F54" s="2028"/>
      <c r="G54" s="2028"/>
      <c r="H54" s="2028"/>
      <c r="I54" s="2028"/>
      <c r="J54" s="2028"/>
      <c r="K54" s="2028"/>
      <c r="L54" s="2028"/>
      <c r="M54" s="2028"/>
      <c r="N54" s="2028"/>
      <c r="O54" s="2028"/>
      <c r="P54" s="2028"/>
    </row>
    <row r="55" spans="1:18" ht="23.1" customHeight="1">
      <c r="A55" s="2028"/>
      <c r="B55" s="2028"/>
      <c r="C55" s="2028"/>
      <c r="D55" s="2028"/>
      <c r="E55" s="2028"/>
      <c r="F55" s="2028"/>
      <c r="G55" s="2028"/>
      <c r="H55" s="2028"/>
      <c r="I55" s="2028"/>
      <c r="J55" s="2028"/>
      <c r="K55" s="2028"/>
      <c r="L55" s="2028"/>
      <c r="M55" s="2028"/>
      <c r="N55" s="2028"/>
      <c r="O55" s="2028"/>
      <c r="P55" s="2028"/>
    </row>
    <row r="56" spans="1:18" ht="23.1" customHeight="1">
      <c r="A56" s="2028"/>
      <c r="B56" s="2028"/>
      <c r="C56" s="2028"/>
      <c r="D56" s="2028"/>
      <c r="E56" s="2028"/>
      <c r="F56" s="2028"/>
      <c r="G56" s="2028"/>
      <c r="H56" s="2028"/>
      <c r="I56" s="2028"/>
      <c r="J56" s="2028"/>
      <c r="K56" s="2028"/>
      <c r="L56" s="2028"/>
      <c r="M56" s="2028"/>
      <c r="N56" s="2028"/>
      <c r="O56" s="2028"/>
      <c r="P56" s="2028"/>
    </row>
    <row r="57" spans="1:18" ht="23.1" customHeight="1">
      <c r="A57" s="2028"/>
      <c r="B57" s="2028"/>
      <c r="C57" s="2028"/>
      <c r="D57" s="2028"/>
      <c r="E57" s="2028"/>
      <c r="F57" s="2028"/>
      <c r="G57" s="2028"/>
      <c r="H57" s="2028"/>
      <c r="I57" s="2028"/>
      <c r="J57" s="2028"/>
      <c r="K57" s="2028"/>
      <c r="L57" s="2028"/>
      <c r="M57" s="2028"/>
      <c r="N57" s="2028"/>
      <c r="O57" s="2028"/>
      <c r="P57" s="2028"/>
    </row>
    <row r="58" spans="1:18" ht="23.1" customHeight="1">
      <c r="A58" s="373"/>
      <c r="B58" s="373"/>
      <c r="C58" s="373"/>
      <c r="D58" s="373"/>
      <c r="E58" s="373"/>
      <c r="F58" s="373"/>
      <c r="G58" s="373"/>
      <c r="H58" s="373"/>
      <c r="I58" s="373"/>
      <c r="J58" s="373"/>
      <c r="K58" s="373"/>
      <c r="L58" s="373"/>
      <c r="M58" s="373"/>
      <c r="N58" s="373"/>
      <c r="O58" s="373"/>
      <c r="P58" s="373"/>
    </row>
    <row r="59" spans="1:18" ht="23.1" customHeight="1">
      <c r="A59" s="2030" t="s">
        <v>838</v>
      </c>
      <c r="B59" s="2030"/>
      <c r="C59" s="2030"/>
      <c r="D59" s="2030"/>
      <c r="E59" s="2030"/>
      <c r="F59" s="373"/>
      <c r="G59" s="373"/>
      <c r="H59" s="373"/>
      <c r="I59" s="373"/>
      <c r="J59" s="373"/>
      <c r="K59" s="373"/>
      <c r="L59" s="373"/>
      <c r="M59" s="373"/>
      <c r="N59" s="373"/>
      <c r="O59" s="373"/>
      <c r="P59" s="373"/>
    </row>
    <row r="60" spans="1:18" ht="23.1" customHeight="1">
      <c r="A60" s="373"/>
      <c r="B60" s="2031">
        <f>B19</f>
        <v>0</v>
      </c>
      <c r="C60" s="2031"/>
      <c r="D60" s="2031"/>
      <c r="E60" s="2031"/>
      <c r="F60" s="2031"/>
      <c r="G60" s="2031"/>
      <c r="H60" s="376"/>
      <c r="I60" s="376"/>
      <c r="J60" s="376"/>
      <c r="K60" s="376"/>
      <c r="L60" s="376"/>
      <c r="M60" s="376"/>
      <c r="N60" s="376"/>
      <c r="O60" s="376"/>
      <c r="P60" s="373"/>
    </row>
    <row r="61" spans="1:18" ht="23.1" customHeight="1">
      <c r="A61" s="373"/>
      <c r="B61" s="373"/>
      <c r="C61" s="373"/>
      <c r="D61" s="373"/>
      <c r="E61" s="373"/>
      <c r="F61" s="373"/>
      <c r="G61" s="373"/>
      <c r="H61" s="373"/>
      <c r="I61" s="373"/>
      <c r="J61" s="373"/>
      <c r="K61" s="373"/>
      <c r="L61" s="373"/>
      <c r="M61" s="373"/>
      <c r="N61" s="373"/>
      <c r="O61" s="373"/>
      <c r="P61" s="373"/>
    </row>
    <row r="62" spans="1:18" ht="23.1" customHeight="1">
      <c r="A62" s="2030" t="s">
        <v>1112</v>
      </c>
      <c r="B62" s="2030"/>
      <c r="C62" s="2030"/>
      <c r="D62" s="2030"/>
      <c r="E62" s="2030"/>
      <c r="F62" s="373"/>
      <c r="G62" s="373"/>
      <c r="H62" s="373"/>
      <c r="I62" s="373"/>
      <c r="J62" s="373"/>
      <c r="K62" s="373"/>
      <c r="L62" s="373"/>
      <c r="M62" s="373"/>
      <c r="N62" s="373"/>
      <c r="O62" s="373"/>
      <c r="P62" s="373"/>
    </row>
    <row r="63" spans="1:18" ht="23.1" customHeight="1">
      <c r="A63" s="373"/>
      <c r="B63" s="2022" t="str">
        <f>CONCATENATE(B22)</f>
        <v/>
      </c>
      <c r="C63" s="2022"/>
      <c r="D63" s="2022"/>
      <c r="E63" s="2022"/>
      <c r="F63" s="2022"/>
      <c r="G63" s="2022"/>
      <c r="H63" s="377"/>
      <c r="I63" s="377"/>
      <c r="J63" s="377"/>
      <c r="K63" s="377"/>
      <c r="L63" s="377"/>
      <c r="M63" s="377"/>
      <c r="N63" s="377"/>
      <c r="O63" s="377"/>
      <c r="P63" s="373"/>
    </row>
    <row r="64" spans="1:18" ht="23.1" customHeight="1">
      <c r="A64" s="373"/>
      <c r="B64" s="377"/>
      <c r="C64" s="377"/>
      <c r="D64" s="377"/>
      <c r="E64" s="377"/>
      <c r="F64" s="373"/>
      <c r="G64" s="373"/>
      <c r="H64" s="373"/>
      <c r="I64" s="373"/>
      <c r="J64" s="373"/>
      <c r="K64" s="373"/>
      <c r="L64" s="373"/>
      <c r="M64" s="373"/>
      <c r="N64" s="373"/>
      <c r="O64" s="373"/>
      <c r="P64" s="373"/>
      <c r="R64" s="946" t="str">
        <f>IF(B63&lt;&gt;"","○","")</f>
        <v/>
      </c>
    </row>
    <row r="65" spans="1:29" ht="23.1" customHeight="1">
      <c r="A65" s="373"/>
      <c r="B65" s="377" t="s">
        <v>839</v>
      </c>
      <c r="C65" s="377"/>
      <c r="D65" s="377"/>
      <c r="E65" s="377"/>
      <c r="F65" s="373"/>
      <c r="G65" s="373"/>
      <c r="H65" s="373"/>
      <c r="I65" s="373"/>
      <c r="J65" s="373"/>
      <c r="K65" s="373"/>
      <c r="L65" s="373"/>
      <c r="M65" s="373"/>
      <c r="N65" s="373"/>
      <c r="O65" s="373"/>
      <c r="P65" s="373"/>
    </row>
    <row r="66" spans="1:29" ht="23.1" customHeight="1">
      <c r="A66" s="373"/>
      <c r="B66" s="2026" t="str">
        <f>IF($R$64="○","見直し前","定員")</f>
        <v>定員</v>
      </c>
      <c r="C66" s="2026"/>
      <c r="D66" s="2035">
        <f>D25</f>
        <v>0</v>
      </c>
      <c r="E66" s="2035"/>
      <c r="F66" s="373" t="s">
        <v>10</v>
      </c>
      <c r="G66" s="373"/>
      <c r="H66" s="373"/>
      <c r="I66" s="373"/>
      <c r="J66" s="373"/>
      <c r="K66" s="373"/>
      <c r="L66" s="373"/>
      <c r="M66" s="373"/>
      <c r="N66" s="373"/>
      <c r="O66" s="373"/>
      <c r="P66" s="373"/>
    </row>
    <row r="67" spans="1:29" ht="23.1" customHeight="1">
      <c r="A67" s="373"/>
      <c r="B67" s="2026" t="str">
        <f>IF($R$64="○","見直し後","")</f>
        <v/>
      </c>
      <c r="C67" s="2026"/>
      <c r="D67" s="2035">
        <f>D26</f>
        <v>0</v>
      </c>
      <c r="E67" s="2035"/>
      <c r="F67" s="373" t="str">
        <f>IF($R$64="○","人","")</f>
        <v/>
      </c>
      <c r="G67" s="2026" t="str">
        <f>IF($R$64="○","（見直した月","")</f>
        <v/>
      </c>
      <c r="H67" s="2026"/>
      <c r="I67" s="2026"/>
      <c r="J67" s="2035">
        <f>J26</f>
        <v>0</v>
      </c>
      <c r="K67" s="2035"/>
      <c r="L67" s="373" t="str">
        <f>IF($R$64="○","月）","")</f>
        <v/>
      </c>
      <c r="M67" s="373"/>
      <c r="N67" s="373"/>
      <c r="O67" s="373"/>
      <c r="P67" s="373"/>
      <c r="R67" s="375">
        <f>D66</f>
        <v>0</v>
      </c>
    </row>
    <row r="68" spans="1:29" ht="23.1" customHeight="1">
      <c r="A68" s="373"/>
      <c r="B68" s="373"/>
      <c r="C68" s="373"/>
      <c r="D68" s="373"/>
      <c r="E68" s="373"/>
      <c r="F68" s="373"/>
      <c r="G68" s="373"/>
      <c r="H68" s="373"/>
      <c r="I68" s="373"/>
      <c r="J68" s="373"/>
      <c r="K68" s="373"/>
      <c r="L68" s="373"/>
      <c r="M68" s="373"/>
      <c r="N68" s="373"/>
      <c r="O68" s="373"/>
      <c r="P68" s="373"/>
      <c r="R68" s="375">
        <f>IF(D67="",R67,D67)</f>
        <v>0</v>
      </c>
      <c r="S68" s="378">
        <f>IF(OR(J67="",J67=0),12,IF(J67&gt;=4,J67-3,J67+9))</f>
        <v>12</v>
      </c>
    </row>
    <row r="69" spans="1:29" ht="23.1" customHeight="1">
      <c r="A69" s="373"/>
      <c r="B69" s="373" t="s">
        <v>846</v>
      </c>
      <c r="C69" s="373"/>
      <c r="D69" s="373"/>
      <c r="E69" s="373"/>
      <c r="F69" s="373"/>
      <c r="G69" s="373"/>
      <c r="H69" s="373"/>
      <c r="I69" s="373"/>
      <c r="J69" s="373"/>
      <c r="K69" s="373"/>
      <c r="L69" s="373"/>
      <c r="M69" s="373"/>
      <c r="N69" s="373"/>
      <c r="O69" s="373"/>
      <c r="P69" s="373"/>
    </row>
    <row r="70" spans="1:29" ht="23.1" customHeight="1">
      <c r="A70" s="373"/>
      <c r="B70" s="373" t="s">
        <v>847</v>
      </c>
      <c r="C70" s="373"/>
      <c r="D70" s="373"/>
      <c r="E70" s="373"/>
      <c r="F70" s="373"/>
      <c r="G70" s="373"/>
      <c r="H70" s="373"/>
      <c r="I70" s="373"/>
      <c r="J70" s="373"/>
      <c r="K70" s="373"/>
      <c r="L70" s="373"/>
      <c r="M70" s="373"/>
      <c r="N70" s="373"/>
      <c r="O70" s="373"/>
      <c r="P70" s="373"/>
    </row>
    <row r="71" spans="1:29" ht="23.1" customHeight="1" thickBot="1">
      <c r="A71" s="373"/>
      <c r="B71" s="373" t="e">
        <f>IF(AND($D$76&gt;1.2,$P$75&lt;&gt;0),"　また、年間平均在所率が120%以上となっていたため減算適用いたします。","なお、年間平均在所率は120%以上ではありませんでした。")</f>
        <v>#DIV/0!</v>
      </c>
      <c r="C71" s="373"/>
      <c r="D71" s="373"/>
      <c r="E71" s="373"/>
      <c r="F71" s="373"/>
      <c r="G71" s="373"/>
      <c r="H71" s="373"/>
      <c r="I71" s="373"/>
      <c r="J71" s="373"/>
      <c r="K71" s="373"/>
      <c r="L71" s="373"/>
      <c r="M71" s="373"/>
      <c r="N71" s="373"/>
      <c r="O71" s="373"/>
      <c r="P71" s="373"/>
    </row>
    <row r="72" spans="1:29" ht="23.1" customHeight="1">
      <c r="A72" s="373"/>
      <c r="B72" s="2037" t="s">
        <v>1122</v>
      </c>
      <c r="C72" s="2037"/>
      <c r="D72" s="379" t="s">
        <v>49</v>
      </c>
      <c r="E72" s="380" t="s">
        <v>50</v>
      </c>
      <c r="F72" s="380" t="s">
        <v>51</v>
      </c>
      <c r="G72" s="380" t="s">
        <v>52</v>
      </c>
      <c r="H72" s="380" t="s">
        <v>53</v>
      </c>
      <c r="I72" s="380" t="s">
        <v>54</v>
      </c>
      <c r="J72" s="380" t="s">
        <v>55</v>
      </c>
      <c r="K72" s="380" t="s">
        <v>56</v>
      </c>
      <c r="L72" s="380" t="s">
        <v>57</v>
      </c>
      <c r="M72" s="380" t="s">
        <v>58</v>
      </c>
      <c r="N72" s="380" t="s">
        <v>59</v>
      </c>
      <c r="O72" s="381" t="s">
        <v>60</v>
      </c>
      <c r="P72" s="382" t="s">
        <v>15</v>
      </c>
      <c r="R72" s="945" t="s">
        <v>49</v>
      </c>
      <c r="S72" s="945" t="s">
        <v>50</v>
      </c>
      <c r="T72" s="945" t="s">
        <v>51</v>
      </c>
      <c r="U72" s="945" t="s">
        <v>52</v>
      </c>
      <c r="V72" s="945" t="s">
        <v>53</v>
      </c>
      <c r="W72" s="945" t="s">
        <v>54</v>
      </c>
      <c r="X72" s="945" t="s">
        <v>55</v>
      </c>
      <c r="Y72" s="945" t="s">
        <v>56</v>
      </c>
      <c r="Z72" s="945" t="s">
        <v>57</v>
      </c>
      <c r="AA72" s="945" t="s">
        <v>58</v>
      </c>
      <c r="AB72" s="945" t="s">
        <v>59</v>
      </c>
      <c r="AC72" s="945" t="s">
        <v>60</v>
      </c>
    </row>
    <row r="73" spans="1:29" ht="23.1" customHeight="1">
      <c r="A73" s="373"/>
      <c r="B73" s="2032" t="s">
        <v>841</v>
      </c>
      <c r="C73" s="2032"/>
      <c r="D73" s="383">
        <f t="shared" ref="D73:O73" si="3">IF($S$68&gt;R73,$R$67,$R$68)</f>
        <v>0</v>
      </c>
      <c r="E73" s="384">
        <f t="shared" si="3"/>
        <v>0</v>
      </c>
      <c r="F73" s="384">
        <f t="shared" si="3"/>
        <v>0</v>
      </c>
      <c r="G73" s="384">
        <f t="shared" si="3"/>
        <v>0</v>
      </c>
      <c r="H73" s="384">
        <f t="shared" si="3"/>
        <v>0</v>
      </c>
      <c r="I73" s="384">
        <f t="shared" si="3"/>
        <v>0</v>
      </c>
      <c r="J73" s="384">
        <f t="shared" si="3"/>
        <v>0</v>
      </c>
      <c r="K73" s="384">
        <f t="shared" si="3"/>
        <v>0</v>
      </c>
      <c r="L73" s="384">
        <f t="shared" si="3"/>
        <v>0</v>
      </c>
      <c r="M73" s="384">
        <f t="shared" si="3"/>
        <v>0</v>
      </c>
      <c r="N73" s="384">
        <f t="shared" si="3"/>
        <v>0</v>
      </c>
      <c r="O73" s="385">
        <f t="shared" si="3"/>
        <v>0</v>
      </c>
      <c r="P73" s="386">
        <f>SUM(D73:O73)</f>
        <v>0</v>
      </c>
      <c r="R73" s="375">
        <v>1</v>
      </c>
      <c r="S73" s="375">
        <v>2</v>
      </c>
      <c r="T73" s="375">
        <v>3</v>
      </c>
      <c r="U73" s="375">
        <v>4</v>
      </c>
      <c r="V73" s="375">
        <v>5</v>
      </c>
      <c r="W73" s="375">
        <v>6</v>
      </c>
      <c r="X73" s="375">
        <v>7</v>
      </c>
      <c r="Y73" s="375">
        <v>8</v>
      </c>
      <c r="Z73" s="375">
        <v>9</v>
      </c>
      <c r="AA73" s="375">
        <v>10</v>
      </c>
      <c r="AB73" s="375">
        <v>11</v>
      </c>
      <c r="AC73" s="375">
        <v>12</v>
      </c>
    </row>
    <row r="74" spans="1:29" ht="23.1" customHeight="1">
      <c r="A74" s="373"/>
      <c r="B74" s="2033" t="s">
        <v>842</v>
      </c>
      <c r="C74" s="2033"/>
      <c r="D74" s="387"/>
      <c r="E74" s="388"/>
      <c r="F74" s="388"/>
      <c r="G74" s="388"/>
      <c r="H74" s="388"/>
      <c r="I74" s="388"/>
      <c r="J74" s="388"/>
      <c r="K74" s="388"/>
      <c r="L74" s="388"/>
      <c r="M74" s="388"/>
      <c r="N74" s="388"/>
      <c r="O74" s="389"/>
      <c r="P74" s="390">
        <f>SUM(D74:O74)</f>
        <v>0</v>
      </c>
    </row>
    <row r="75" spans="1:29" ht="23.1" customHeight="1" thickBot="1">
      <c r="A75" s="373"/>
      <c r="B75" s="2033" t="s">
        <v>843</v>
      </c>
      <c r="C75" s="2033"/>
      <c r="D75" s="391" t="str">
        <f>IF(D74="","未入力",IF(D74&gt;D73,"○","×"))</f>
        <v>未入力</v>
      </c>
      <c r="E75" s="392" t="str">
        <f t="shared" ref="E75:O75" si="4">IF(E74="","未入力",IF(E74&gt;E73,"○","×"))</f>
        <v>未入力</v>
      </c>
      <c r="F75" s="393" t="str">
        <f t="shared" si="4"/>
        <v>未入力</v>
      </c>
      <c r="G75" s="393" t="str">
        <f t="shared" si="4"/>
        <v>未入力</v>
      </c>
      <c r="H75" s="393" t="str">
        <f t="shared" si="4"/>
        <v>未入力</v>
      </c>
      <c r="I75" s="393" t="str">
        <f t="shared" si="4"/>
        <v>未入力</v>
      </c>
      <c r="J75" s="393" t="str">
        <f t="shared" si="4"/>
        <v>未入力</v>
      </c>
      <c r="K75" s="393" t="str">
        <f t="shared" si="4"/>
        <v>未入力</v>
      </c>
      <c r="L75" s="393" t="str">
        <f t="shared" si="4"/>
        <v>未入力</v>
      </c>
      <c r="M75" s="393" t="str">
        <f t="shared" si="4"/>
        <v>未入力</v>
      </c>
      <c r="N75" s="393" t="str">
        <f t="shared" si="4"/>
        <v>未入力</v>
      </c>
      <c r="O75" s="394" t="str">
        <f t="shared" si="4"/>
        <v>未入力</v>
      </c>
      <c r="P75" s="395" t="e">
        <f>SUM(R76:AC76)</f>
        <v>#DIV/0!</v>
      </c>
      <c r="R75" s="2038" t="s">
        <v>92</v>
      </c>
      <c r="S75" s="2038"/>
      <c r="T75" s="2038"/>
      <c r="U75" s="2038"/>
      <c r="V75" s="2038"/>
      <c r="W75" s="2038"/>
      <c r="X75" s="2038"/>
      <c r="Y75" s="2038"/>
      <c r="Z75" s="2038"/>
      <c r="AA75" s="2038"/>
      <c r="AB75" s="2038"/>
      <c r="AC75" s="2038"/>
    </row>
    <row r="76" spans="1:29" ht="23.1" customHeight="1" thickBot="1">
      <c r="A76" s="373"/>
      <c r="B76" s="2051" t="s">
        <v>844</v>
      </c>
      <c r="C76" s="2052"/>
      <c r="D76" s="2053" t="e">
        <f>ROUNDDOWN(P74/P73,2)</f>
        <v>#DIV/0!</v>
      </c>
      <c r="E76" s="2054"/>
      <c r="F76" s="373"/>
      <c r="G76" s="373"/>
      <c r="H76" s="373"/>
      <c r="I76" s="373"/>
      <c r="J76" s="373"/>
      <c r="K76" s="373"/>
      <c r="L76" s="373"/>
      <c r="M76" s="373"/>
      <c r="N76" s="373"/>
      <c r="O76" s="373"/>
      <c r="P76" s="373"/>
      <c r="R76" s="946" t="e">
        <f>IF($D$76&gt;=1.2,IF(COUNTIF($D75:D75,"○")=R73,1,0),0)</f>
        <v>#DIV/0!</v>
      </c>
      <c r="S76" s="946" t="e">
        <f>IF($D$76&gt;=1.2,IF(COUNTIF($D75:E75,"○")=S73,1,0),0)</f>
        <v>#DIV/0!</v>
      </c>
      <c r="T76" s="946" t="e">
        <f>IF($D$76&gt;=1.2,IF(COUNTIF($D75:F75,"○")=T73,1,0),0)</f>
        <v>#DIV/0!</v>
      </c>
      <c r="U76" s="946" t="e">
        <f>IF($D$76&gt;=1.2,IF(COUNTIF($D75:G75,"○")=U73,1,0),0)</f>
        <v>#DIV/0!</v>
      </c>
      <c r="V76" s="946" t="e">
        <f>IF($D$76&gt;=1.2,IF(COUNTIF($D75:H75,"○")=V73,1,0),0)</f>
        <v>#DIV/0!</v>
      </c>
      <c r="W76" s="946" t="e">
        <f>IF($D$76&gt;=1.2,IF(COUNTIF($D75:I75,"○")=W73,1,0),0)</f>
        <v>#DIV/0!</v>
      </c>
      <c r="X76" s="946" t="e">
        <f>IF($D$76&gt;=1.2,IF(COUNTIF($D75:J75,"○")=X73,1,0),0)</f>
        <v>#DIV/0!</v>
      </c>
      <c r="Y76" s="946" t="e">
        <f>IF($D$76&gt;=1.2,IF(COUNTIF($D75:K75,"○")=Y73,1,0),0)</f>
        <v>#DIV/0!</v>
      </c>
      <c r="Z76" s="946" t="e">
        <f>IF($D$76&gt;=1.2,IF(COUNTIF($D75:L75,"○")=Z73,1,0),0)</f>
        <v>#DIV/0!</v>
      </c>
      <c r="AA76" s="946" t="e">
        <f>IF($D$76&gt;=1.2,IF(COUNTIF($D75:M75,"○")=AA73,1,0),0)</f>
        <v>#DIV/0!</v>
      </c>
      <c r="AB76" s="946" t="e">
        <f>IF($D$76&gt;=1.2,IF(COUNTIF($D75:N75,"○")=AB73,1,0),0)</f>
        <v>#DIV/0!</v>
      </c>
      <c r="AC76" s="946" t="e">
        <f>IF($D$76&gt;=1.2,IF(COUNTIF($D75:O75,"○")=AC73,1,0),0)</f>
        <v>#DIV/0!</v>
      </c>
    </row>
    <row r="77" spans="1:29" ht="23.1" customHeight="1">
      <c r="A77" s="373"/>
      <c r="B77" s="373"/>
      <c r="C77" s="373"/>
      <c r="D77" s="373"/>
      <c r="E77" s="373"/>
      <c r="F77" s="373"/>
      <c r="G77" s="373"/>
      <c r="H77" s="373"/>
      <c r="I77" s="373"/>
      <c r="J77" s="373"/>
      <c r="K77" s="373"/>
      <c r="L77" s="373"/>
      <c r="M77" s="373"/>
      <c r="N77" s="373"/>
      <c r="O77" s="373"/>
      <c r="P77" s="373"/>
    </row>
    <row r="78" spans="1:29" ht="23.1" customHeight="1">
      <c r="A78" s="373"/>
      <c r="B78" s="2050" t="e">
        <f>IF(AND($D$76&gt;=1.2,$P$75&lt;&gt;0),"　減算遡及適用：4　月　～　"&amp;IF(P75&gt;9,P75-9,P75+3)&amp;"　月","")</f>
        <v>#DIV/0!</v>
      </c>
      <c r="C78" s="2050"/>
      <c r="D78" s="2050"/>
      <c r="E78" s="2050"/>
      <c r="F78" s="2050"/>
      <c r="G78" s="2050"/>
      <c r="H78" s="2050"/>
      <c r="I78" s="2050"/>
      <c r="J78" s="373"/>
      <c r="K78" s="373"/>
      <c r="L78" s="373"/>
      <c r="M78" s="373"/>
      <c r="N78" s="373"/>
      <c r="O78" s="373"/>
      <c r="P78" s="373"/>
    </row>
    <row r="79" spans="1:29" ht="23.1" customHeight="1">
      <c r="A79" s="373"/>
      <c r="B79" s="396"/>
      <c r="C79" s="396"/>
      <c r="D79" s="396"/>
      <c r="E79" s="396"/>
      <c r="F79" s="396"/>
      <c r="G79" s="396"/>
      <c r="H79" s="396"/>
      <c r="I79" s="373"/>
      <c r="J79" s="373"/>
      <c r="K79" s="373"/>
      <c r="L79" s="373"/>
      <c r="M79" s="373"/>
      <c r="N79" s="376"/>
      <c r="O79" s="376"/>
      <c r="P79" s="373"/>
    </row>
    <row r="80" spans="1:29" ht="23.1" customHeight="1">
      <c r="A80" s="373"/>
      <c r="B80" s="373"/>
      <c r="C80" s="373"/>
      <c r="D80" s="373"/>
      <c r="E80" s="373"/>
      <c r="F80" s="373"/>
      <c r="G80" s="373"/>
      <c r="H80" s="373"/>
      <c r="I80" s="373"/>
      <c r="J80" s="373"/>
      <c r="K80" s="373"/>
      <c r="L80" s="373"/>
      <c r="M80" s="373"/>
      <c r="N80" s="376"/>
      <c r="O80" s="376"/>
      <c r="P80" s="373"/>
    </row>
    <row r="81" spans="1:16" ht="23.1" customHeight="1">
      <c r="A81" s="373"/>
      <c r="B81" s="373"/>
      <c r="C81" s="373"/>
      <c r="D81" s="373"/>
      <c r="E81" s="373"/>
      <c r="F81" s="373"/>
      <c r="G81" s="373"/>
      <c r="H81" s="373"/>
      <c r="I81" s="373"/>
      <c r="J81" s="373"/>
      <c r="K81" s="373"/>
      <c r="L81" s="373"/>
      <c r="M81" s="373"/>
      <c r="N81" s="376"/>
      <c r="O81" s="376"/>
      <c r="P81" s="373"/>
    </row>
    <row r="82" spans="1:16" ht="23.1" customHeight="1">
      <c r="A82" s="373"/>
      <c r="B82" s="373"/>
      <c r="C82" s="373"/>
      <c r="D82" s="373"/>
      <c r="E82" s="373"/>
      <c r="F82" s="373"/>
      <c r="G82" s="373"/>
      <c r="H82" s="373"/>
      <c r="I82" s="373"/>
      <c r="J82" s="373"/>
      <c r="K82" s="373"/>
      <c r="L82" s="373"/>
      <c r="M82" s="373"/>
      <c r="N82" s="376"/>
      <c r="O82" s="376"/>
      <c r="P82" s="373"/>
    </row>
    <row r="83" spans="1:16" ht="23.1" customHeight="1">
      <c r="A83" s="373"/>
      <c r="B83" s="373"/>
      <c r="C83" s="373"/>
      <c r="D83" s="373"/>
      <c r="E83" s="373"/>
      <c r="F83" s="373"/>
      <c r="G83" s="373"/>
      <c r="H83" s="373"/>
      <c r="I83" s="373"/>
      <c r="J83" s="373"/>
      <c r="K83" s="373"/>
      <c r="L83" s="373"/>
      <c r="M83" s="373"/>
      <c r="N83" s="376"/>
      <c r="O83" s="376"/>
      <c r="P83" s="373"/>
    </row>
  </sheetData>
  <sheetProtection algorithmName="SHA-512" hashValue="XH9e5Dq92CSdTEC2lU68ljErbeRpZ6viXoZ30QFTno3flSn2PW1N2hONUCeUz4fnzUwZ3Vaso5+nfFWOl8VS7A==" saltValue="ngoYLA8uhK1lXPhRch73XQ==" spinCount="100000" sheet="1" objects="1" scenarios="1"/>
  <mergeCells count="56">
    <mergeCell ref="B39:C39"/>
    <mergeCell ref="D39:E39"/>
    <mergeCell ref="B35:C36"/>
    <mergeCell ref="D35:E36"/>
    <mergeCell ref="R75:AC75"/>
    <mergeCell ref="J67:K67"/>
    <mergeCell ref="D52:M52"/>
    <mergeCell ref="A54:P57"/>
    <mergeCell ref="A59:E59"/>
    <mergeCell ref="B60:G60"/>
    <mergeCell ref="A62:E62"/>
    <mergeCell ref="B63:G63"/>
    <mergeCell ref="B66:C66"/>
    <mergeCell ref="D66:E66"/>
    <mergeCell ref="B67:C67"/>
    <mergeCell ref="D67:E67"/>
    <mergeCell ref="B78:I78"/>
    <mergeCell ref="B72:C72"/>
    <mergeCell ref="B73:C73"/>
    <mergeCell ref="B74:C74"/>
    <mergeCell ref="B75:C75"/>
    <mergeCell ref="B76:C76"/>
    <mergeCell ref="D76:E76"/>
    <mergeCell ref="G67:I67"/>
    <mergeCell ref="R33:AC33"/>
    <mergeCell ref="L43:P43"/>
    <mergeCell ref="L44:P44"/>
    <mergeCell ref="I48:I49"/>
    <mergeCell ref="K48:O48"/>
    <mergeCell ref="K49:O49"/>
    <mergeCell ref="F35:I36"/>
    <mergeCell ref="J35:K36"/>
    <mergeCell ref="L35:M36"/>
    <mergeCell ref="N35:P36"/>
    <mergeCell ref="B25:C25"/>
    <mergeCell ref="D25:E25"/>
    <mergeCell ref="B26:C26"/>
    <mergeCell ref="D26:E26"/>
    <mergeCell ref="B31:C31"/>
    <mergeCell ref="B32:C32"/>
    <mergeCell ref="B33:C33"/>
    <mergeCell ref="B34:C34"/>
    <mergeCell ref="G26:I26"/>
    <mergeCell ref="J26:K26"/>
    <mergeCell ref="B22:G22"/>
    <mergeCell ref="D10:M10"/>
    <mergeCell ref="L1:P1"/>
    <mergeCell ref="L2:P2"/>
    <mergeCell ref="I6:I7"/>
    <mergeCell ref="K6:O6"/>
    <mergeCell ref="K7:O7"/>
    <mergeCell ref="A12:P15"/>
    <mergeCell ref="A16:P16"/>
    <mergeCell ref="A18:E18"/>
    <mergeCell ref="B19:G19"/>
    <mergeCell ref="A21:E21"/>
  </mergeCells>
  <phoneticPr fontId="1"/>
  <conditionalFormatting sqref="D34:O34">
    <cfRule type="containsText" dxfId="57" priority="7" operator="containsText" text="未入力">
      <formula>NOT(ISERROR(SEARCH("未入力",D34)))</formula>
    </cfRule>
  </conditionalFormatting>
  <conditionalFormatting sqref="D35">
    <cfRule type="cellIs" dxfId="56" priority="6" operator="greaterThanOrEqual">
      <formula>1.2</formula>
    </cfRule>
  </conditionalFormatting>
  <conditionalFormatting sqref="D75:O75">
    <cfRule type="containsText" dxfId="55" priority="5" operator="containsText" text="未入力">
      <formula>NOT(ISERROR(SEARCH("未入力",D75)))</formula>
    </cfRule>
  </conditionalFormatting>
  <conditionalFormatting sqref="P75">
    <cfRule type="containsText" dxfId="54" priority="4" operator="containsText" text="超過">
      <formula>NOT(ISERROR(SEARCH("超過",P75)))</formula>
    </cfRule>
  </conditionalFormatting>
  <conditionalFormatting sqref="D76:E76">
    <cfRule type="cellIs" dxfId="53" priority="3" operator="greaterThanOrEqual">
      <formula>1.2</formula>
    </cfRule>
  </conditionalFormatting>
  <conditionalFormatting sqref="P34">
    <cfRule type="containsText" dxfId="52" priority="2" operator="containsText" text="超過">
      <formula>NOT(ISERROR(SEARCH("超過",P34)))</formula>
    </cfRule>
  </conditionalFormatting>
  <conditionalFormatting sqref="L35">
    <cfRule type="cellIs" dxfId="51" priority="1" operator="greaterThanOrEqual">
      <formula>1.15</formula>
    </cfRule>
  </conditionalFormatting>
  <dataValidations count="1">
    <dataValidation type="list" allowBlank="1" showInputMessage="1" showErrorMessage="1" sqref="J26:K26 J67:K67" xr:uid="{00000000-0002-0000-0900-000000000000}">
      <formula1>$S$2:$S$13</formula1>
    </dataValidation>
  </dataValidations>
  <printOptions horizontalCentered="1"/>
  <pageMargins left="0.31496062992125984" right="0.31496062992125984" top="0.74803149606299213" bottom="0.74803149606299213" header="0.31496062992125984" footer="0.31496062992125984"/>
  <pageSetup paperSize="9" scale="73" orientation="portrait" r:id="rId1"/>
  <rowBreaks count="1" manualBreakCount="1">
    <brk id="42"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FF0000"/>
    <pageSetUpPr fitToPage="1"/>
  </sheetPr>
  <dimension ref="A1:AJ159"/>
  <sheetViews>
    <sheetView view="pageBreakPreview" zoomScale="85" zoomScaleNormal="85" zoomScaleSheetLayoutView="85" workbookViewId="0">
      <selection activeCell="AJ4" sqref="AJ4"/>
    </sheetView>
  </sheetViews>
  <sheetFormatPr defaultColWidth="9" defaultRowHeight="13.5" outlineLevelCol="1"/>
  <cols>
    <col min="1" max="1" width="3" style="134" customWidth="1"/>
    <col min="2" max="2" width="20.625" style="134" customWidth="1"/>
    <col min="3" max="10" width="15.625" style="134" customWidth="1"/>
    <col min="11" max="11" width="7.5" style="134" hidden="1" customWidth="1"/>
    <col min="12" max="12" width="61.875" style="134" customWidth="1"/>
    <col min="13" max="14" width="6.25" style="134" hidden="1" customWidth="1" outlineLevel="1"/>
    <col min="15" max="15" width="6.5" style="147" hidden="1" customWidth="1" outlineLevel="1"/>
    <col min="16" max="16" width="7.125" style="147" hidden="1" customWidth="1" outlineLevel="1"/>
    <col min="17" max="17" width="7.5" style="134" hidden="1" customWidth="1" outlineLevel="1"/>
    <col min="18" max="19" width="9" style="134" hidden="1" customWidth="1" outlineLevel="1"/>
    <col min="20" max="20" width="9" style="374" hidden="1" customWidth="1" outlineLevel="1"/>
    <col min="21" max="28" width="9" style="134" hidden="1" customWidth="1" outlineLevel="1"/>
    <col min="29" max="29" width="12.75" style="134" hidden="1" customWidth="1" outlineLevel="1"/>
    <col min="30" max="30" width="14.875" style="134" hidden="1" customWidth="1" outlineLevel="1"/>
    <col min="31" max="33" width="9" style="134" hidden="1" customWidth="1" outlineLevel="1"/>
    <col min="34" max="34" width="14.875" style="134" hidden="1" customWidth="1" outlineLevel="1"/>
    <col min="35" max="35" width="0" style="134" hidden="1" customWidth="1" outlineLevel="1"/>
    <col min="36" max="36" width="9" style="134" collapsed="1"/>
    <col min="37" max="16384" width="9" style="134"/>
  </cols>
  <sheetData>
    <row r="1" spans="1:22" ht="15" customHeight="1">
      <c r="A1" s="586" t="s">
        <v>753</v>
      </c>
      <c r="B1" s="587"/>
      <c r="C1" s="587"/>
      <c r="D1" s="587"/>
      <c r="E1" s="587"/>
      <c r="F1" s="587"/>
      <c r="G1" s="587"/>
      <c r="H1" s="2126" t="str">
        <f>M2&amp;"様式2"&amp;M3</f>
        <v>加-23_月申-様式2-保_Ver.2.01</v>
      </c>
      <c r="I1" s="2126"/>
      <c r="J1" s="2126"/>
      <c r="K1" s="1177"/>
      <c r="L1" s="183"/>
      <c r="M1" s="190" t="s">
        <v>1018</v>
      </c>
      <c r="O1" s="134"/>
      <c r="P1" s="134"/>
      <c r="Q1" s="147"/>
      <c r="R1" s="147"/>
      <c r="S1" s="147"/>
      <c r="U1" s="147"/>
      <c r="V1" s="147"/>
    </row>
    <row r="2" spans="1:22" ht="15" customHeight="1">
      <c r="A2" s="2127" t="str">
        <f>【様式１】総括表・個票!AK2&amp;"年度"</f>
        <v>2023年度</v>
      </c>
      <c r="B2" s="2127"/>
      <c r="C2" s="2127"/>
      <c r="D2" s="2127"/>
      <c r="E2" s="2128" t="s">
        <v>9</v>
      </c>
      <c r="F2" s="2128"/>
      <c r="G2" s="588" t="str">
        <f>+"【"&amp;【様式１】総括表・個票!I10&amp;"月分】"</f>
        <v>【月分】</v>
      </c>
      <c r="H2" s="586"/>
      <c r="I2" s="509"/>
      <c r="J2" s="509"/>
      <c r="K2" s="509"/>
      <c r="L2" s="183"/>
      <c r="M2" s="190" t="str">
        <f>【様式１】総括表・個票!$AJ$2</f>
        <v>加-23_月申-</v>
      </c>
      <c r="O2" s="134"/>
      <c r="P2" s="134"/>
      <c r="Q2" s="147"/>
      <c r="R2" s="147"/>
      <c r="S2" s="147"/>
      <c r="U2" s="147"/>
      <c r="V2" s="147"/>
    </row>
    <row r="3" spans="1:22" s="147" customFormat="1" ht="15" customHeight="1" thickBot="1">
      <c r="A3" s="589" t="s">
        <v>95</v>
      </c>
      <c r="B3" s="587"/>
      <c r="C3" s="587"/>
      <c r="D3" s="587"/>
      <c r="E3" s="587"/>
      <c r="F3" s="587"/>
      <c r="G3" s="587"/>
      <c r="H3" s="587"/>
      <c r="I3" s="587"/>
      <c r="J3" s="587"/>
      <c r="K3" s="587"/>
      <c r="L3" s="134"/>
      <c r="M3" s="190" t="str">
        <f>【様式１】総括表・個票!$AJ$3</f>
        <v>-保_Ver.2.01</v>
      </c>
      <c r="N3" s="134"/>
      <c r="T3" s="374"/>
    </row>
    <row r="4" spans="1:22" s="147" customFormat="1" ht="15" customHeight="1" thickBot="1">
      <c r="A4" s="586"/>
      <c r="B4" s="2129" t="s">
        <v>877</v>
      </c>
      <c r="C4" s="2130"/>
      <c r="D4" s="2130"/>
      <c r="E4" s="2130"/>
      <c r="F4" s="2130"/>
      <c r="G4" s="2130"/>
      <c r="H4" s="2130"/>
      <c r="I4" s="2130"/>
      <c r="J4" s="2131"/>
      <c r="K4" s="1200"/>
      <c r="R4" s="374"/>
    </row>
    <row r="5" spans="1:22" s="147" customFormat="1" ht="15" customHeight="1">
      <c r="A5" s="590"/>
      <c r="B5" s="2132" t="s">
        <v>968</v>
      </c>
      <c r="C5" s="2133"/>
      <c r="D5" s="2134"/>
      <c r="E5" s="594" t="s">
        <v>754</v>
      </c>
      <c r="F5" s="2141"/>
      <c r="G5" s="2142"/>
      <c r="H5" s="2142"/>
      <c r="I5" s="2142"/>
      <c r="J5" s="1010" t="s">
        <v>417</v>
      </c>
      <c r="K5" s="1201"/>
      <c r="R5" s="374"/>
    </row>
    <row r="6" spans="1:22" s="147" customFormat="1" ht="15" customHeight="1">
      <c r="A6" s="590"/>
      <c r="B6" s="2135"/>
      <c r="C6" s="2136"/>
      <c r="D6" s="2137"/>
      <c r="E6" s="2143" t="str">
        <f>IF(AND(F5&lt;150,F5&gt;0),"根拠・理由","")</f>
        <v/>
      </c>
      <c r="F6" s="2145"/>
      <c r="G6" s="2146"/>
      <c r="H6" s="2146"/>
      <c r="I6" s="2146"/>
      <c r="J6" s="2147"/>
      <c r="K6" s="1202"/>
      <c r="R6" s="374"/>
    </row>
    <row r="7" spans="1:22" s="147" customFormat="1" ht="15" customHeight="1" thickBot="1">
      <c r="A7" s="590"/>
      <c r="B7" s="2138"/>
      <c r="C7" s="2139"/>
      <c r="D7" s="2140"/>
      <c r="E7" s="2144"/>
      <c r="F7" s="2148"/>
      <c r="G7" s="2149"/>
      <c r="H7" s="2149"/>
      <c r="I7" s="2149"/>
      <c r="J7" s="2150"/>
      <c r="K7" s="1202"/>
      <c r="R7" s="374"/>
    </row>
    <row r="8" spans="1:22" s="147" customFormat="1" ht="15" customHeight="1">
      <c r="A8" s="590"/>
      <c r="B8" s="2153" t="s">
        <v>99</v>
      </c>
      <c r="C8" s="2108" t="s">
        <v>755</v>
      </c>
      <c r="D8" s="2109"/>
      <c r="E8" s="2109"/>
      <c r="F8" s="2110"/>
      <c r="G8" s="2111" t="s">
        <v>756</v>
      </c>
      <c r="H8" s="2111"/>
      <c r="I8" s="2111"/>
      <c r="J8" s="2112"/>
      <c r="K8" s="1203"/>
    </row>
    <row r="9" spans="1:22" s="147" customFormat="1" ht="15" customHeight="1">
      <c r="A9" s="586"/>
      <c r="B9" s="2154"/>
      <c r="C9" s="2113" t="s">
        <v>7</v>
      </c>
      <c r="D9" s="2114"/>
      <c r="E9" s="2115"/>
      <c r="F9" s="2116" t="s">
        <v>757</v>
      </c>
      <c r="G9" s="810" t="s">
        <v>7</v>
      </c>
      <c r="H9" s="2118" t="s">
        <v>8</v>
      </c>
      <c r="I9" s="2119"/>
      <c r="J9" s="2120" t="s">
        <v>758</v>
      </c>
      <c r="K9" s="1204"/>
      <c r="P9" s="374"/>
    </row>
    <row r="10" spans="1:22" s="147" customFormat="1" ht="15" customHeight="1" thickBot="1">
      <c r="A10" s="586"/>
      <c r="B10" s="2155"/>
      <c r="C10" s="192" t="s">
        <v>146</v>
      </c>
      <c r="D10" s="193" t="s">
        <v>147</v>
      </c>
      <c r="E10" s="194" t="s">
        <v>6</v>
      </c>
      <c r="F10" s="2117"/>
      <c r="G10" s="811" t="s">
        <v>416</v>
      </c>
      <c r="H10" s="741" t="s">
        <v>759</v>
      </c>
      <c r="I10" s="194" t="s">
        <v>756</v>
      </c>
      <c r="J10" s="2121"/>
      <c r="K10" s="1205"/>
      <c r="P10" s="374"/>
    </row>
    <row r="11" spans="1:22" s="147" customFormat="1" ht="15" customHeight="1">
      <c r="A11" s="590"/>
      <c r="B11" s="818" t="s">
        <v>760</v>
      </c>
      <c r="C11" s="732">
        <f t="shared" ref="C11:D16" si="0">U141</f>
        <v>0</v>
      </c>
      <c r="D11" s="733">
        <f t="shared" si="0"/>
        <v>0</v>
      </c>
      <c r="E11" s="733">
        <f t="shared" ref="E11:E16" si="1">SUM(W141,X141)</f>
        <v>0</v>
      </c>
      <c r="F11" s="815">
        <f t="shared" ref="F11:F16" si="2">Y141</f>
        <v>0</v>
      </c>
      <c r="G11" s="812">
        <f t="shared" ref="G11:H16" si="3">S141</f>
        <v>0</v>
      </c>
      <c r="H11" s="742">
        <f t="shared" si="3"/>
        <v>0</v>
      </c>
      <c r="I11" s="1011">
        <f t="shared" ref="I11:I16" si="4">IFERROR(H11/$F$5,0)</f>
        <v>0</v>
      </c>
      <c r="J11" s="738">
        <f>SUM(G11,I11)</f>
        <v>0</v>
      </c>
      <c r="K11" s="596"/>
      <c r="P11" s="374"/>
    </row>
    <row r="12" spans="1:22" s="147" customFormat="1" ht="15" customHeight="1">
      <c r="A12" s="590"/>
      <c r="B12" s="819" t="s">
        <v>967</v>
      </c>
      <c r="C12" s="734">
        <f t="shared" si="0"/>
        <v>0</v>
      </c>
      <c r="D12" s="735">
        <f t="shared" si="0"/>
        <v>0</v>
      </c>
      <c r="E12" s="735">
        <f t="shared" si="1"/>
        <v>0</v>
      </c>
      <c r="F12" s="816">
        <f t="shared" si="2"/>
        <v>0</v>
      </c>
      <c r="G12" s="813">
        <f t="shared" si="3"/>
        <v>0</v>
      </c>
      <c r="H12" s="743">
        <f t="shared" si="3"/>
        <v>0</v>
      </c>
      <c r="I12" s="1012">
        <f t="shared" si="4"/>
        <v>0</v>
      </c>
      <c r="J12" s="739">
        <f>SUM(G12,I12)</f>
        <v>0</v>
      </c>
      <c r="K12" s="596"/>
      <c r="P12" s="374"/>
    </row>
    <row r="13" spans="1:22" s="147" customFormat="1" ht="15" customHeight="1">
      <c r="A13" s="590"/>
      <c r="B13" s="819" t="s">
        <v>5</v>
      </c>
      <c r="C13" s="734">
        <f t="shared" si="0"/>
        <v>0</v>
      </c>
      <c r="D13" s="735">
        <f t="shared" si="0"/>
        <v>0</v>
      </c>
      <c r="E13" s="735">
        <f t="shared" si="1"/>
        <v>0</v>
      </c>
      <c r="F13" s="816">
        <f t="shared" si="2"/>
        <v>0</v>
      </c>
      <c r="G13" s="813">
        <f t="shared" si="3"/>
        <v>0</v>
      </c>
      <c r="H13" s="743">
        <f t="shared" si="3"/>
        <v>0</v>
      </c>
      <c r="I13" s="1012">
        <f t="shared" si="4"/>
        <v>0</v>
      </c>
      <c r="J13" s="739">
        <f t="shared" ref="J13:J16" si="5">SUM(G13,I13)</f>
        <v>0</v>
      </c>
      <c r="K13" s="596"/>
      <c r="P13" s="374"/>
    </row>
    <row r="14" spans="1:22" s="147" customFormat="1" ht="15" customHeight="1">
      <c r="A14" s="590"/>
      <c r="B14" s="819" t="s">
        <v>145</v>
      </c>
      <c r="C14" s="734">
        <f t="shared" si="0"/>
        <v>0</v>
      </c>
      <c r="D14" s="735">
        <f t="shared" si="0"/>
        <v>0</v>
      </c>
      <c r="E14" s="735">
        <f t="shared" si="1"/>
        <v>0</v>
      </c>
      <c r="F14" s="816">
        <f t="shared" si="2"/>
        <v>0</v>
      </c>
      <c r="G14" s="813">
        <f t="shared" si="3"/>
        <v>0</v>
      </c>
      <c r="H14" s="743">
        <f t="shared" si="3"/>
        <v>0</v>
      </c>
      <c r="I14" s="1012">
        <f t="shared" si="4"/>
        <v>0</v>
      </c>
      <c r="J14" s="739">
        <f t="shared" si="5"/>
        <v>0</v>
      </c>
      <c r="K14" s="596"/>
      <c r="P14" s="374"/>
    </row>
    <row r="15" spans="1:22" s="147" customFormat="1" ht="15" customHeight="1">
      <c r="A15" s="590"/>
      <c r="B15" s="819" t="s">
        <v>761</v>
      </c>
      <c r="C15" s="734">
        <f t="shared" si="0"/>
        <v>0</v>
      </c>
      <c r="D15" s="735">
        <f t="shared" si="0"/>
        <v>0</v>
      </c>
      <c r="E15" s="735">
        <f t="shared" si="1"/>
        <v>0</v>
      </c>
      <c r="F15" s="816">
        <f t="shared" si="2"/>
        <v>0</v>
      </c>
      <c r="G15" s="813">
        <f t="shared" si="3"/>
        <v>0</v>
      </c>
      <c r="H15" s="743">
        <f t="shared" si="3"/>
        <v>0</v>
      </c>
      <c r="I15" s="1012">
        <f t="shared" si="4"/>
        <v>0</v>
      </c>
      <c r="J15" s="739">
        <f t="shared" si="5"/>
        <v>0</v>
      </c>
      <c r="K15" s="596"/>
      <c r="P15" s="374"/>
    </row>
    <row r="16" spans="1:22" s="147" customFormat="1" ht="15" customHeight="1">
      <c r="A16" s="590"/>
      <c r="B16" s="820" t="s">
        <v>6</v>
      </c>
      <c r="C16" s="736">
        <f t="shared" si="0"/>
        <v>0</v>
      </c>
      <c r="D16" s="737">
        <f t="shared" si="0"/>
        <v>0</v>
      </c>
      <c r="E16" s="737">
        <f t="shared" si="1"/>
        <v>0</v>
      </c>
      <c r="F16" s="817">
        <f t="shared" si="2"/>
        <v>0</v>
      </c>
      <c r="G16" s="814">
        <f t="shared" si="3"/>
        <v>0</v>
      </c>
      <c r="H16" s="744">
        <f t="shared" si="3"/>
        <v>0</v>
      </c>
      <c r="I16" s="1013">
        <f t="shared" si="4"/>
        <v>0</v>
      </c>
      <c r="J16" s="740">
        <f t="shared" si="5"/>
        <v>0</v>
      </c>
      <c r="K16" s="596"/>
    </row>
    <row r="17" spans="1:34" s="147" customFormat="1" ht="15" customHeight="1">
      <c r="A17" s="590"/>
      <c r="B17" s="2151" t="s">
        <v>762</v>
      </c>
      <c r="C17" s="2151"/>
      <c r="D17" s="2151"/>
      <c r="E17" s="2151"/>
      <c r="F17" s="2151"/>
      <c r="G17" s="2151"/>
      <c r="H17" s="2151"/>
      <c r="I17" s="2151"/>
      <c r="J17" s="2151"/>
      <c r="K17" s="1178"/>
    </row>
    <row r="18" spans="1:34" s="147" customFormat="1" ht="15" customHeight="1">
      <c r="A18" s="595" t="s">
        <v>554</v>
      </c>
      <c r="B18" s="591"/>
      <c r="C18" s="592"/>
      <c r="D18" s="592"/>
      <c r="E18" s="592"/>
      <c r="F18" s="592"/>
      <c r="G18" s="592"/>
      <c r="H18" s="593"/>
      <c r="I18" s="593"/>
      <c r="J18" s="1014"/>
      <c r="K18" s="1014"/>
      <c r="L18" s="195"/>
      <c r="M18" s="196"/>
      <c r="N18" s="196"/>
    </row>
    <row r="19" spans="1:34" s="147" customFormat="1" ht="15" customHeight="1">
      <c r="A19" s="2152" t="s">
        <v>1078</v>
      </c>
      <c r="B19" s="2152"/>
      <c r="C19" s="2152"/>
      <c r="D19" s="2152"/>
      <c r="E19" s="2152"/>
      <c r="F19" s="2152"/>
      <c r="G19" s="2152"/>
      <c r="H19" s="2152"/>
      <c r="I19" s="2152"/>
      <c r="J19" s="2152"/>
      <c r="K19" s="1178"/>
      <c r="L19" s="490"/>
      <c r="M19" s="490"/>
      <c r="N19" s="490"/>
    </row>
    <row r="20" spans="1:34" s="147" customFormat="1" ht="15" customHeight="1">
      <c r="A20" s="2152" t="s">
        <v>1118</v>
      </c>
      <c r="B20" s="2152"/>
      <c r="C20" s="2152"/>
      <c r="D20" s="2152"/>
      <c r="E20" s="2152"/>
      <c r="F20" s="2152"/>
      <c r="G20" s="2152"/>
      <c r="H20" s="2152"/>
      <c r="I20" s="2152"/>
      <c r="J20" s="2152"/>
      <c r="K20" s="1178"/>
      <c r="L20" s="490"/>
      <c r="M20" s="490"/>
      <c r="N20" s="490"/>
    </row>
    <row r="21" spans="1:34" s="147" customFormat="1" ht="15" customHeight="1">
      <c r="A21" s="2152" t="s">
        <v>1079</v>
      </c>
      <c r="B21" s="2152"/>
      <c r="C21" s="2152"/>
      <c r="D21" s="2152"/>
      <c r="E21" s="2152"/>
      <c r="F21" s="2152"/>
      <c r="G21" s="2152"/>
      <c r="H21" s="2152"/>
      <c r="I21" s="2152"/>
      <c r="J21" s="2152"/>
      <c r="K21" s="1178"/>
      <c r="L21" s="490"/>
      <c r="M21" s="490"/>
      <c r="N21" s="490"/>
    </row>
    <row r="22" spans="1:34" s="147" customFormat="1" ht="15" customHeight="1" thickBot="1">
      <c r="A22" s="2152" t="s">
        <v>1077</v>
      </c>
      <c r="B22" s="2152"/>
      <c r="C22" s="2152"/>
      <c r="D22" s="2152"/>
      <c r="E22" s="2152"/>
      <c r="F22" s="2152"/>
      <c r="G22" s="2152"/>
      <c r="H22" s="2152"/>
      <c r="I22" s="2152"/>
      <c r="J22" s="2152"/>
      <c r="K22" s="1178"/>
      <c r="L22" s="148"/>
      <c r="M22" s="148"/>
      <c r="N22" s="148"/>
    </row>
    <row r="23" spans="1:34" s="147" customFormat="1" ht="15" customHeight="1" thickBot="1">
      <c r="A23" s="590"/>
      <c r="B23" s="1015" t="s">
        <v>1080</v>
      </c>
      <c r="C23" s="592"/>
      <c r="D23" s="592"/>
      <c r="E23" s="592"/>
      <c r="F23" s="593"/>
      <c r="G23" s="593"/>
      <c r="H23" s="1014"/>
      <c r="I23" s="596"/>
      <c r="J23" s="597"/>
      <c r="K23" s="597"/>
      <c r="M23" s="2094" t="s">
        <v>865</v>
      </c>
      <c r="N23" s="2095"/>
      <c r="O23" s="2096"/>
      <c r="P23" s="2096" t="s">
        <v>681</v>
      </c>
      <c r="Q23" s="2097"/>
      <c r="R23" s="374"/>
      <c r="S23" s="2098" t="s">
        <v>763</v>
      </c>
      <c r="T23" s="2099"/>
      <c r="U23" s="2100" t="s">
        <v>422</v>
      </c>
      <c r="V23" s="2101"/>
      <c r="W23" s="2101"/>
      <c r="X23" s="2101"/>
      <c r="Y23" s="2102"/>
      <c r="AA23" s="2103" t="s">
        <v>929</v>
      </c>
      <c r="AB23" s="2104"/>
      <c r="AC23" s="2104"/>
      <c r="AD23" s="2104"/>
      <c r="AE23" s="2104"/>
      <c r="AF23" s="2104"/>
      <c r="AG23" s="2104"/>
      <c r="AH23" s="2104"/>
    </row>
    <row r="24" spans="1:34" s="147" customFormat="1" ht="15" customHeight="1" thickTop="1" thickBot="1">
      <c r="A24" s="682"/>
      <c r="B24" s="512" t="s">
        <v>924</v>
      </c>
      <c r="C24" s="512"/>
      <c r="D24" s="512"/>
      <c r="E24" s="512"/>
      <c r="F24" s="512"/>
      <c r="G24" s="512"/>
      <c r="H24" s="512"/>
      <c r="I24" s="512"/>
      <c r="J24" s="512"/>
      <c r="K24" s="512"/>
      <c r="M24" s="956" t="s">
        <v>764</v>
      </c>
      <c r="N24" s="957" t="s">
        <v>955</v>
      </c>
      <c r="O24" s="958" t="s">
        <v>8</v>
      </c>
      <c r="P24" s="958" t="s">
        <v>682</v>
      </c>
      <c r="Q24" s="959" t="s">
        <v>683</v>
      </c>
      <c r="R24" s="374"/>
      <c r="S24" s="197"/>
      <c r="T24" s="959" t="s">
        <v>765</v>
      </c>
      <c r="U24" s="198"/>
      <c r="V24" s="199"/>
      <c r="W24" s="199"/>
      <c r="X24" s="199"/>
      <c r="Y24" s="200"/>
      <c r="AA24" s="1016" t="s">
        <v>766</v>
      </c>
      <c r="AB24" s="1017" t="s">
        <v>767</v>
      </c>
      <c r="AC24" s="1018" t="s">
        <v>190</v>
      </c>
      <c r="AD24" s="1019" t="s">
        <v>7</v>
      </c>
      <c r="AE24" s="1019" t="s">
        <v>8</v>
      </c>
      <c r="AF24" s="1188" t="s">
        <v>768</v>
      </c>
      <c r="AG24" s="1191" t="s">
        <v>6</v>
      </c>
      <c r="AH24" s="1183" t="s">
        <v>1261</v>
      </c>
    </row>
    <row r="25" spans="1:34" s="147" customFormat="1" ht="15" customHeight="1">
      <c r="A25" s="2064" t="s">
        <v>769</v>
      </c>
      <c r="B25" s="2065"/>
      <c r="C25" s="2066" t="s">
        <v>91</v>
      </c>
      <c r="D25" s="2065"/>
      <c r="E25" s="2066" t="s">
        <v>770</v>
      </c>
      <c r="F25" s="2067"/>
      <c r="G25" s="2065"/>
      <c r="H25" s="955" t="s">
        <v>771</v>
      </c>
      <c r="I25" s="2066" t="s">
        <v>21</v>
      </c>
      <c r="J25" s="2070" t="s">
        <v>772</v>
      </c>
      <c r="K25" s="1206"/>
      <c r="M25" s="201" t="str">
        <f>$AB26</f>
        <v>有給</v>
      </c>
      <c r="N25" s="493"/>
      <c r="O25" s="202" t="s">
        <v>765</v>
      </c>
      <c r="P25" s="202"/>
      <c r="Q25" s="203" t="s">
        <v>765</v>
      </c>
      <c r="R25" s="374"/>
      <c r="S25" s="204"/>
      <c r="T25" s="205"/>
      <c r="U25" s="206"/>
      <c r="V25" s="207"/>
      <c r="W25" s="207"/>
      <c r="X25" s="207"/>
      <c r="Y25" s="208"/>
      <c r="AA25" s="209"/>
      <c r="AB25" s="210"/>
      <c r="AC25" s="210"/>
      <c r="AD25" s="486"/>
      <c r="AE25" s="486"/>
      <c r="AF25" s="1189" t="s">
        <v>90</v>
      </c>
      <c r="AG25" s="1192"/>
      <c r="AH25" s="1187"/>
    </row>
    <row r="26" spans="1:34" s="147" customFormat="1" ht="15" customHeight="1">
      <c r="A26" s="2073" t="s">
        <v>878</v>
      </c>
      <c r="B26" s="2075" t="s">
        <v>773</v>
      </c>
      <c r="C26" s="2077" t="s">
        <v>232</v>
      </c>
      <c r="D26" s="2079" t="s">
        <v>774</v>
      </c>
      <c r="E26" s="2107" t="s">
        <v>765</v>
      </c>
      <c r="F26" s="2083" t="s">
        <v>879</v>
      </c>
      <c r="G26" s="2105" t="s">
        <v>880</v>
      </c>
      <c r="H26" s="2085" t="e">
        <f>"("&amp;TEXT($AF$26,"YYYY/M/D")&amp;"以前)"</f>
        <v>#VALUE!</v>
      </c>
      <c r="I26" s="2068"/>
      <c r="J26" s="2071"/>
      <c r="K26" s="1206"/>
      <c r="M26" s="211"/>
      <c r="N26" s="492"/>
      <c r="O26" s="212"/>
      <c r="P26" s="212"/>
      <c r="Q26" s="213"/>
      <c r="R26" s="374"/>
      <c r="S26" s="214"/>
      <c r="T26" s="213"/>
      <c r="U26" s="215"/>
      <c r="V26" s="216"/>
      <c r="W26" s="216"/>
      <c r="X26" s="216"/>
      <c r="Y26" s="217"/>
      <c r="AA26" s="209" t="s">
        <v>760</v>
      </c>
      <c r="AB26" s="218" t="s">
        <v>93</v>
      </c>
      <c r="AC26" s="218" t="s">
        <v>7</v>
      </c>
      <c r="AD26" s="487" t="s">
        <v>146</v>
      </c>
      <c r="AE26" s="486" t="s">
        <v>775</v>
      </c>
      <c r="AF26" s="1190" t="e">
        <f>DATE(【様式１】総括表・個票!D10,【様式１】総括表・個票!I10,1)</f>
        <v>#VALUE!</v>
      </c>
      <c r="AG26" s="1193" t="s">
        <v>65</v>
      </c>
      <c r="AH26" s="1185" t="s">
        <v>1262</v>
      </c>
    </row>
    <row r="27" spans="1:34" ht="15" customHeight="1" thickBot="1">
      <c r="A27" s="2074"/>
      <c r="B27" s="2076"/>
      <c r="C27" s="2078"/>
      <c r="D27" s="2080"/>
      <c r="E27" s="2078"/>
      <c r="F27" s="2084"/>
      <c r="G27" s="2106"/>
      <c r="H27" s="2086"/>
      <c r="I27" s="2069"/>
      <c r="J27" s="2072"/>
      <c r="K27" s="1206"/>
      <c r="L27" s="147"/>
      <c r="M27" s="219"/>
      <c r="N27" s="494"/>
      <c r="O27" s="220"/>
      <c r="P27" s="220"/>
      <c r="Q27" s="221"/>
      <c r="R27" s="374"/>
      <c r="S27" s="222"/>
      <c r="T27" s="221"/>
      <c r="U27" s="223"/>
      <c r="V27" s="224"/>
      <c r="W27" s="224"/>
      <c r="X27" s="224"/>
      <c r="Y27" s="225"/>
      <c r="Z27" s="147"/>
      <c r="AA27" s="226" t="s">
        <v>923</v>
      </c>
      <c r="AB27" s="227" t="s">
        <v>776</v>
      </c>
      <c r="AC27" s="218" t="s">
        <v>8</v>
      </c>
      <c r="AD27" s="487" t="s">
        <v>147</v>
      </c>
      <c r="AE27" s="487" t="s">
        <v>777</v>
      </c>
      <c r="AF27" s="252"/>
      <c r="AG27" s="1184" t="s">
        <v>181</v>
      </c>
      <c r="AH27" s="1185" t="s">
        <v>1263</v>
      </c>
    </row>
    <row r="28" spans="1:34" ht="15" customHeight="1">
      <c r="A28" s="598">
        <f>ROW()-ROW($A$27)</f>
        <v>1</v>
      </c>
      <c r="B28" s="229"/>
      <c r="C28" s="1020" t="s">
        <v>923</v>
      </c>
      <c r="D28" s="230"/>
      <c r="E28" s="1020" t="str">
        <f>IF($D28="有給","委託","")</f>
        <v/>
      </c>
      <c r="F28" s="1021" t="str">
        <f>IF(G28&gt;0,"要添付書類➡","-")</f>
        <v>-</v>
      </c>
      <c r="G28" s="1026"/>
      <c r="H28" s="231"/>
      <c r="I28" s="232"/>
      <c r="J28" s="772" t="str">
        <f t="shared" ref="J28:J32" si="6">IF(M28,IF(OR(Q28,P28),"エラー",C28),"-")</f>
        <v>-</v>
      </c>
      <c r="K28" s="1179"/>
      <c r="L28" s="147"/>
      <c r="M28" s="233" t="b">
        <f>$D28=$M$25</f>
        <v>0</v>
      </c>
      <c r="N28" s="498"/>
      <c r="O28" s="234">
        <f>IF($E28&lt;&gt;$O$25,0,COUNTIF($E28:E$28,$O$25))</f>
        <v>0</v>
      </c>
      <c r="P28" s="234" t="e">
        <f>$H28&gt;$H$26</f>
        <v>#VALUE!</v>
      </c>
      <c r="Q28" s="235" t="b">
        <f>OR(B28=0,C28=0,E28=0,AND($E28=Q$25,OR($G28=0,ISTEXT($G28))),$H28=0)</f>
        <v>1</v>
      </c>
      <c r="R28" s="374"/>
      <c r="S28" s="236"/>
      <c r="T28" s="237">
        <f>IF($E28=T$24,$G28,0)</f>
        <v>0</v>
      </c>
      <c r="U28" s="236"/>
      <c r="V28" s="238"/>
      <c r="W28" s="238"/>
      <c r="X28" s="238"/>
      <c r="Y28" s="239"/>
      <c r="Z28" s="147"/>
      <c r="AA28" s="226" t="s">
        <v>5</v>
      </c>
      <c r="AB28" s="227" t="s">
        <v>698</v>
      </c>
      <c r="AC28" s="218"/>
      <c r="AD28" s="487" t="s">
        <v>778</v>
      </c>
      <c r="AE28" s="487" t="s">
        <v>779</v>
      </c>
      <c r="AF28" s="252"/>
      <c r="AG28" s="1186"/>
      <c r="AH28" s="1185" t="s">
        <v>1264</v>
      </c>
    </row>
    <row r="29" spans="1:34" ht="15" customHeight="1" thickBot="1">
      <c r="A29" s="599">
        <f>ROW()-ROW($A$27)</f>
        <v>2</v>
      </c>
      <c r="B29" s="241"/>
      <c r="C29" s="1022" t="s">
        <v>781</v>
      </c>
      <c r="D29" s="242"/>
      <c r="E29" s="1022" t="str">
        <f t="shared" ref="E29:E32" si="7">IF($D29="有給","委託","")</f>
        <v/>
      </c>
      <c r="F29" s="1023" t="str">
        <f t="shared" ref="F29:F32" si="8">IF(G29&gt;0,"要添付書類➡","-")</f>
        <v>-</v>
      </c>
      <c r="G29" s="1027"/>
      <c r="H29" s="162"/>
      <c r="I29" s="243"/>
      <c r="J29" s="610" t="str">
        <f t="shared" si="6"/>
        <v>-</v>
      </c>
      <c r="K29" s="1179"/>
      <c r="L29" s="147"/>
      <c r="M29" s="244" t="b">
        <f>$D29=$M$25</f>
        <v>0</v>
      </c>
      <c r="N29" s="499"/>
      <c r="O29" s="245">
        <f>IF($E29&lt;&gt;$O$25,0,COUNTIF($E$28:E29,$O$25))</f>
        <v>0</v>
      </c>
      <c r="P29" s="245" t="e">
        <f>$H29&gt;$H$26</f>
        <v>#VALUE!</v>
      </c>
      <c r="Q29" s="246" t="b">
        <f>OR(B29=0,C29=0,E29=0,AND($E29=Q$25,OR($G29=0,ISTEXT($G29))),$H29=0)</f>
        <v>1</v>
      </c>
      <c r="R29" s="374"/>
      <c r="S29" s="247"/>
      <c r="T29" s="248">
        <f>IF($E29=T$37,$G29,0)</f>
        <v>0</v>
      </c>
      <c r="U29" s="247"/>
      <c r="V29" s="249"/>
      <c r="W29" s="249"/>
      <c r="X29" s="250"/>
      <c r="Y29" s="251"/>
      <c r="Z29" s="147"/>
      <c r="AA29" s="226" t="s">
        <v>145</v>
      </c>
      <c r="AB29" s="151" t="s">
        <v>94</v>
      </c>
      <c r="AC29" s="252"/>
      <c r="AD29" s="488" t="s">
        <v>780</v>
      </c>
      <c r="AE29" s="488" t="s">
        <v>780</v>
      </c>
      <c r="AF29" s="252"/>
      <c r="AG29" s="149"/>
      <c r="AH29" s="1194"/>
    </row>
    <row r="30" spans="1:34" ht="15" customHeight="1" thickTop="1">
      <c r="A30" s="599">
        <f>ROW()-ROW($A$27)</f>
        <v>3</v>
      </c>
      <c r="B30" s="241"/>
      <c r="C30" s="1022" t="s">
        <v>782</v>
      </c>
      <c r="D30" s="242"/>
      <c r="E30" s="1022" t="str">
        <f t="shared" si="7"/>
        <v/>
      </c>
      <c r="F30" s="1023" t="str">
        <f t="shared" si="8"/>
        <v>-</v>
      </c>
      <c r="G30" s="1027"/>
      <c r="H30" s="162"/>
      <c r="I30" s="243"/>
      <c r="J30" s="610" t="str">
        <f t="shared" si="6"/>
        <v>-</v>
      </c>
      <c r="K30" s="1179"/>
      <c r="L30" s="147"/>
      <c r="M30" s="244" t="b">
        <f>$D30=$M$25</f>
        <v>0</v>
      </c>
      <c r="N30" s="499"/>
      <c r="O30" s="245">
        <f>IF($E30&lt;&gt;$O$25,0,COUNTIF($E$28:E30,$O$25))</f>
        <v>0</v>
      </c>
      <c r="P30" s="245" t="e">
        <f>$H30&gt;$H$26</f>
        <v>#VALUE!</v>
      </c>
      <c r="Q30" s="246" t="b">
        <f>OR(B30=0,C30=0,E30=0,AND($E30=Q$25,OR($G30=0,ISTEXT($G30))),$H30=0)</f>
        <v>1</v>
      </c>
      <c r="R30" s="374"/>
      <c r="S30" s="247"/>
      <c r="T30" s="248">
        <f>IF($E30=T$37,$G30,0)</f>
        <v>0</v>
      </c>
      <c r="U30" s="247"/>
      <c r="V30" s="249"/>
      <c r="W30" s="249"/>
      <c r="X30" s="250"/>
      <c r="Y30" s="251"/>
      <c r="Z30" s="147"/>
      <c r="AA30" s="226" t="s">
        <v>233</v>
      </c>
      <c r="AB30" s="151"/>
      <c r="AC30" s="252"/>
      <c r="AD30" s="2061" t="s">
        <v>928</v>
      </c>
      <c r="AE30" s="2061"/>
      <c r="AF30" s="252"/>
      <c r="AG30" s="149"/>
      <c r="AH30" s="1194"/>
    </row>
    <row r="31" spans="1:34" ht="15" customHeight="1">
      <c r="A31" s="599">
        <f>ROW()-ROW($A$27)</f>
        <v>4</v>
      </c>
      <c r="B31" s="241"/>
      <c r="C31" s="1022" t="s">
        <v>783</v>
      </c>
      <c r="D31" s="242"/>
      <c r="E31" s="1022" t="str">
        <f t="shared" si="7"/>
        <v/>
      </c>
      <c r="F31" s="1023" t="str">
        <f t="shared" si="8"/>
        <v>-</v>
      </c>
      <c r="G31" s="1027"/>
      <c r="H31" s="162"/>
      <c r="I31" s="243"/>
      <c r="J31" s="610" t="str">
        <f t="shared" si="6"/>
        <v>-</v>
      </c>
      <c r="K31" s="1179"/>
      <c r="L31" s="147"/>
      <c r="M31" s="244" t="b">
        <f>$D31=$M$25</f>
        <v>0</v>
      </c>
      <c r="N31" s="499"/>
      <c r="O31" s="245">
        <f>IF($E31&lt;&gt;$O$25,0,COUNTIF($E$28:E31,$O$25))</f>
        <v>0</v>
      </c>
      <c r="P31" s="245" t="e">
        <f>$H31&gt;$H$26</f>
        <v>#VALUE!</v>
      </c>
      <c r="Q31" s="246" t="b">
        <f>OR(B31=0,C31=0,E31=0,AND($E31=Q$25,OR($G31=0,ISTEXT($G31))),$H31=0)</f>
        <v>1</v>
      </c>
      <c r="R31" s="374"/>
      <c r="S31" s="247"/>
      <c r="T31" s="248">
        <f>IF($E31=T$37,$G31,0)</f>
        <v>0</v>
      </c>
      <c r="U31" s="247"/>
      <c r="V31" s="249"/>
      <c r="W31" s="249"/>
      <c r="X31" s="250"/>
      <c r="Y31" s="251"/>
      <c r="AA31" s="481" t="s">
        <v>6</v>
      </c>
      <c r="AB31" s="151"/>
      <c r="AC31" s="252"/>
      <c r="AD31" s="2062"/>
      <c r="AE31" s="2062"/>
      <c r="AF31" s="252"/>
      <c r="AG31" s="149"/>
      <c r="AH31" s="1194"/>
    </row>
    <row r="32" spans="1:34" ht="15" customHeight="1" thickBot="1">
      <c r="A32" s="600">
        <f>ROW()-ROW($A$27)</f>
        <v>5</v>
      </c>
      <c r="B32" s="255"/>
      <c r="C32" s="1024" t="s">
        <v>784</v>
      </c>
      <c r="D32" s="256"/>
      <c r="E32" s="1024" t="str">
        <f t="shared" si="7"/>
        <v/>
      </c>
      <c r="F32" s="1025" t="str">
        <f t="shared" si="8"/>
        <v>-</v>
      </c>
      <c r="G32" s="1028"/>
      <c r="H32" s="257"/>
      <c r="I32" s="258"/>
      <c r="J32" s="611" t="str">
        <f t="shared" si="6"/>
        <v>-</v>
      </c>
      <c r="K32" s="1179"/>
      <c r="L32" s="147"/>
      <c r="M32" s="259" t="b">
        <f>$D32=$M$25</f>
        <v>0</v>
      </c>
      <c r="N32" s="500"/>
      <c r="O32" s="260">
        <f>IF($E32&lt;&gt;$O$25,0,COUNTIF($E$28:E32,$O$25))</f>
        <v>0</v>
      </c>
      <c r="P32" s="260" t="e">
        <f>$H32&gt;$H$26</f>
        <v>#VALUE!</v>
      </c>
      <c r="Q32" s="261" t="b">
        <f>OR(B32=0,C32=0,E32=0,AND($E32=Q$25,OR($G32=0,ISTEXT($G32))),$H32=0)</f>
        <v>1</v>
      </c>
      <c r="R32" s="374"/>
      <c r="S32" s="262"/>
      <c r="T32" s="263">
        <f>IF($E32=T$37,$G32,0)</f>
        <v>0</v>
      </c>
      <c r="U32" s="262"/>
      <c r="V32" s="264"/>
      <c r="W32" s="264"/>
      <c r="X32" s="265"/>
      <c r="Y32" s="266"/>
      <c r="AA32" s="489" t="s">
        <v>954</v>
      </c>
      <c r="AB32" s="252"/>
      <c r="AC32" s="252"/>
      <c r="AD32" s="2062"/>
      <c r="AE32" s="2062"/>
      <c r="AF32" s="252"/>
      <c r="AG32" s="149"/>
      <c r="AH32" s="1194"/>
    </row>
    <row r="33" spans="1:34" ht="15" customHeight="1" thickBot="1">
      <c r="A33" s="1197"/>
      <c r="B33" s="1207" t="s">
        <v>785</v>
      </c>
      <c r="C33" s="1208"/>
      <c r="D33" s="1208"/>
      <c r="E33" s="1208"/>
      <c r="F33" s="1208"/>
      <c r="G33" s="1208"/>
      <c r="H33" s="1208"/>
      <c r="I33" s="1208"/>
      <c r="J33" s="1208"/>
      <c r="K33" s="1208"/>
      <c r="L33" s="147"/>
      <c r="M33" s="1198"/>
      <c r="N33" s="1198"/>
      <c r="O33" s="1198"/>
      <c r="P33" s="1198"/>
      <c r="Q33" s="1198"/>
      <c r="R33" s="374"/>
      <c r="S33" s="1199"/>
      <c r="T33" s="1199"/>
      <c r="U33" s="1199"/>
      <c r="V33" s="1199"/>
      <c r="W33" s="1199"/>
      <c r="X33" s="1199"/>
      <c r="Y33" s="1199"/>
      <c r="AA33" s="482"/>
      <c r="AB33" s="267"/>
      <c r="AC33" s="268"/>
      <c r="AD33" s="2063"/>
      <c r="AE33" s="2063"/>
      <c r="AF33" s="268"/>
      <c r="AG33" s="1195"/>
      <c r="AH33" s="1196"/>
    </row>
    <row r="34" spans="1:34" ht="15" customHeight="1">
      <c r="A34" s="1197"/>
      <c r="B34" s="1208" t="s">
        <v>1265</v>
      </c>
      <c r="C34" s="1208"/>
      <c r="D34" s="1208"/>
      <c r="E34" s="1208"/>
      <c r="F34" s="1208"/>
      <c r="G34" s="1208"/>
      <c r="H34" s="1209" t="s">
        <v>1266</v>
      </c>
      <c r="I34" s="1209" t="s">
        <v>1267</v>
      </c>
      <c r="J34" s="1209" t="s">
        <v>1268</v>
      </c>
      <c r="K34" s="1210" t="s">
        <v>92</v>
      </c>
      <c r="L34" s="147"/>
      <c r="M34" s="1198"/>
      <c r="N34" s="1198"/>
      <c r="O34" s="1198"/>
      <c r="P34" s="1198"/>
      <c r="Q34" s="1198"/>
      <c r="R34" s="374"/>
      <c r="S34" s="1199"/>
      <c r="T34" s="1199"/>
      <c r="U34" s="1199"/>
      <c r="V34" s="1199"/>
      <c r="W34" s="1199"/>
      <c r="X34" s="1199"/>
      <c r="Y34" s="1199"/>
    </row>
    <row r="35" spans="1:34" ht="15" customHeight="1">
      <c r="A35" s="1197"/>
      <c r="B35" s="2087" t="str">
        <f>IFERROR(INDEX($B$41:$B$140,MATCH(TRUE,$N$41:$N$140,0)),"")</f>
        <v/>
      </c>
      <c r="C35" s="2090" t="s">
        <v>1269</v>
      </c>
      <c r="D35" s="2090"/>
      <c r="E35" s="2090"/>
      <c r="F35" s="2090"/>
      <c r="G35" s="2090"/>
      <c r="H35" s="1211" t="str">
        <f>IF(【様式５】職員数算出表!L20&gt;=4,"○","×")</f>
        <v>×</v>
      </c>
      <c r="I35" s="1212"/>
      <c r="J35" s="2091" t="str">
        <f>IF(B35="","-",IF(K35,AA27,IF(AND(K36,K37),AA27,AA31)))</f>
        <v>-</v>
      </c>
      <c r="K35" s="1213" t="b">
        <f>【様式５】職員数算出表!L20&gt;=4</f>
        <v>0</v>
      </c>
      <c r="L35" s="147"/>
      <c r="M35" s="1198"/>
      <c r="N35" s="1198"/>
      <c r="O35" s="1198"/>
      <c r="P35" s="1198"/>
      <c r="Q35" s="1198"/>
      <c r="R35" s="374"/>
      <c r="S35" s="1199"/>
      <c r="T35" s="1199"/>
      <c r="U35" s="1199"/>
      <c r="V35" s="1199"/>
      <c r="W35" s="1199"/>
      <c r="X35" s="1199"/>
      <c r="Y35" s="1199"/>
    </row>
    <row r="36" spans="1:34" ht="15" customHeight="1" thickBot="1">
      <c r="A36" s="505"/>
      <c r="B36" s="2088"/>
      <c r="C36" s="2122" t="s">
        <v>1270</v>
      </c>
      <c r="D36" s="2122"/>
      <c r="E36" s="2122"/>
      <c r="F36" s="2122"/>
      <c r="G36" s="2122"/>
      <c r="H36" s="1260"/>
      <c r="I36" s="1214" t="str">
        <f>IF(OR(B35="",H35="○"),"",IF(H36="","←入力漏れ",""))</f>
        <v/>
      </c>
      <c r="J36" s="2092"/>
      <c r="K36" s="1215" t="b">
        <f>H36="○"</f>
        <v>0</v>
      </c>
      <c r="L36" s="412"/>
      <c r="O36" s="134"/>
      <c r="P36" s="134"/>
      <c r="T36" s="134"/>
    </row>
    <row r="37" spans="1:34" ht="15" customHeight="1" thickBot="1">
      <c r="A37" s="511"/>
      <c r="B37" s="2089"/>
      <c r="C37" s="2123" t="s">
        <v>1271</v>
      </c>
      <c r="D37" s="2124"/>
      <c r="E37" s="2124"/>
      <c r="F37" s="2124"/>
      <c r="G37" s="2125"/>
      <c r="H37" s="1261"/>
      <c r="I37" s="1216" t="str">
        <f>IF(OR(B35="",H35="○"),"",IF(H37=AH26,"-",IF(H37=AH27,"研修終了証を要提出",IF(H37=AH28,"-","←入力漏れ"))))</f>
        <v/>
      </c>
      <c r="J37" s="2093"/>
      <c r="K37" s="1215" t="b">
        <f>OR(H37=AH26,H37=AH27)</f>
        <v>0</v>
      </c>
      <c r="L37" s="412"/>
      <c r="M37" s="956" t="s">
        <v>764</v>
      </c>
      <c r="N37" s="957" t="s">
        <v>955</v>
      </c>
      <c r="O37" s="958" t="s">
        <v>8</v>
      </c>
      <c r="P37" s="958" t="s">
        <v>682</v>
      </c>
      <c r="Q37" s="959" t="s">
        <v>683</v>
      </c>
      <c r="R37" s="374"/>
      <c r="S37" s="269" t="str">
        <f>AC26</f>
        <v>常勤</v>
      </c>
      <c r="T37" s="270" t="str">
        <f>AC27</f>
        <v>非常勤</v>
      </c>
      <c r="U37" s="271" t="str">
        <f>AC26</f>
        <v>常勤</v>
      </c>
      <c r="V37" s="272" t="str">
        <f>U37</f>
        <v>常勤</v>
      </c>
      <c r="W37" s="272" t="str">
        <f>V37</f>
        <v>常勤</v>
      </c>
      <c r="X37" s="272" t="str">
        <f>W37</f>
        <v>常勤</v>
      </c>
      <c r="Y37" s="273" t="str">
        <f>AC27</f>
        <v>非常勤</v>
      </c>
    </row>
    <row r="38" spans="1:34" ht="15" customHeight="1">
      <c r="A38" s="2064" t="s">
        <v>633</v>
      </c>
      <c r="B38" s="2065"/>
      <c r="C38" s="2066" t="s">
        <v>91</v>
      </c>
      <c r="D38" s="2065"/>
      <c r="E38" s="2066" t="s">
        <v>770</v>
      </c>
      <c r="F38" s="2067"/>
      <c r="G38" s="2065"/>
      <c r="H38" s="955" t="s">
        <v>786</v>
      </c>
      <c r="I38" s="2066" t="s">
        <v>21</v>
      </c>
      <c r="J38" s="2070" t="s">
        <v>772</v>
      </c>
      <c r="K38" s="1206"/>
      <c r="L38" s="412"/>
      <c r="M38" s="201" t="str">
        <f>$AB26</f>
        <v>有給</v>
      </c>
      <c r="N38" s="493" t="b">
        <v>1</v>
      </c>
      <c r="O38" s="202" t="str">
        <f>$AC$27</f>
        <v>非常勤</v>
      </c>
      <c r="P38" s="202"/>
      <c r="Q38" s="203" t="str">
        <f>$AC$27</f>
        <v>非常勤</v>
      </c>
      <c r="R38" s="374"/>
      <c r="S38" s="274"/>
      <c r="T38" s="205"/>
      <c r="U38" s="275" t="str">
        <f>AD26</f>
        <v>正職</v>
      </c>
      <c r="V38" s="276" t="str">
        <f>AD27</f>
        <v>臨職</v>
      </c>
      <c r="W38" s="276" t="str">
        <f>AD28</f>
        <v>派遣契約</v>
      </c>
      <c r="X38" s="276" t="str">
        <f>AD29</f>
        <v>嘱託契約</v>
      </c>
      <c r="Y38" s="277"/>
    </row>
    <row r="39" spans="1:34" ht="15" customHeight="1">
      <c r="A39" s="2073" t="s">
        <v>72</v>
      </c>
      <c r="B39" s="2075">
        <f>COUNTA(B41:B140)</f>
        <v>0</v>
      </c>
      <c r="C39" s="2077" t="s">
        <v>232</v>
      </c>
      <c r="D39" s="2079" t="s">
        <v>96</v>
      </c>
      <c r="E39" s="2081" t="s">
        <v>1127</v>
      </c>
      <c r="F39" s="2083" t="s">
        <v>787</v>
      </c>
      <c r="G39" s="821" t="str">
        <f>IF(G40&lt;&gt;【様式３】シフト表!$AK$107,"エラー：シフト表と不一致","非常勤の勤務時間/月")</f>
        <v>非常勤の勤務時間/月</v>
      </c>
      <c r="H39" s="2085" t="e">
        <f>"("&amp;TEXT($AF$26,"YYYY/M/D")&amp;"以前)"</f>
        <v>#VALUE!</v>
      </c>
      <c r="I39" s="2068"/>
      <c r="J39" s="2071"/>
      <c r="K39" s="1206"/>
      <c r="L39" s="412"/>
      <c r="M39" s="211"/>
      <c r="N39" s="492" t="str">
        <f>AA32</f>
        <v>看護師・保健師</v>
      </c>
      <c r="O39" s="278"/>
      <c r="P39" s="212"/>
      <c r="Q39" s="213"/>
      <c r="R39" s="374"/>
      <c r="S39" s="211"/>
      <c r="T39" s="213"/>
      <c r="U39" s="279"/>
      <c r="V39" s="227"/>
      <c r="W39" s="227"/>
      <c r="X39" s="227"/>
      <c r="Y39" s="280"/>
    </row>
    <row r="40" spans="1:34" ht="15" customHeight="1" thickBot="1">
      <c r="A40" s="2074"/>
      <c r="B40" s="2076"/>
      <c r="C40" s="2078"/>
      <c r="D40" s="2080"/>
      <c r="E40" s="2082"/>
      <c r="F40" s="2084"/>
      <c r="G40" s="822">
        <f>SUM($G$41:$G$140)</f>
        <v>0</v>
      </c>
      <c r="H40" s="2086"/>
      <c r="I40" s="2069"/>
      <c r="J40" s="2072"/>
      <c r="K40" s="1206"/>
      <c r="L40" s="412"/>
      <c r="M40" s="219"/>
      <c r="N40" s="494"/>
      <c r="O40" s="220"/>
      <c r="P40" s="220"/>
      <c r="Q40" s="221"/>
      <c r="R40" s="374"/>
      <c r="S40" s="219"/>
      <c r="T40" s="221"/>
      <c r="U40" s="281"/>
      <c r="V40" s="282"/>
      <c r="W40" s="282"/>
      <c r="X40" s="282"/>
      <c r="Y40" s="283"/>
    </row>
    <row r="41" spans="1:34" ht="15" customHeight="1">
      <c r="A41" s="228">
        <f>ROW()-ROW($A$40)</f>
        <v>1</v>
      </c>
      <c r="B41" s="284"/>
      <c r="C41" s="285"/>
      <c r="D41" s="286"/>
      <c r="E41" s="285"/>
      <c r="F41" s="612"/>
      <c r="G41" s="606">
        <f>IFERROR(INDEX(【様式３】シフト表!$AK$7:$AK$106,MATCH($O41,【様式３】シフト表!$B$7:$B$106,0),1),0)</f>
        <v>0</v>
      </c>
      <c r="H41" s="287"/>
      <c r="I41" s="288"/>
      <c r="J41" s="609" t="str">
        <f>IF($B$35=B41,$J$35,IF(M41,IF(OR(Q41,P41),"エラー",IF(C41=$AA$32,IF(N41,$AA$27,$AA$31),C41)),"-"))</f>
        <v>-</v>
      </c>
      <c r="K41" s="1179"/>
      <c r="L41" s="401"/>
      <c r="M41" s="233" t="b">
        <f t="shared" ref="M41:M72" si="9">$D41=$M$38</f>
        <v>0</v>
      </c>
      <c r="N41" s="495" t="b">
        <f>AND($N$38,C41=$N$39,M41,COUNTIF($N$40:$N40,TRUE)=0)</f>
        <v>0</v>
      </c>
      <c r="O41" s="234">
        <f>IF($E41&lt;&gt;$O$38,0,COUNTIF($E$41:E41,$O$38))</f>
        <v>0</v>
      </c>
      <c r="P41" s="234" t="e">
        <f t="shared" ref="P41:P72" si="10">OR($H41&gt;$H$39,AND($E41=$AC$26,$F41&lt;&gt;$AD$26,$F41&lt;&gt;$AD$27,$F41&lt;&gt;$AD$28,$F41&lt;&gt;$AD$29),AND($E41=$AC$27,$F41&lt;&gt;$AE$26,$F41&lt;&gt;$AE$27,$F41&lt;&gt;$AE$28,$F41&lt;&gt;$AE$29))</f>
        <v>#VALUE!</v>
      </c>
      <c r="Q41" s="235" t="b">
        <f t="shared" ref="Q41:Q72" si="11">OR($B41=0,$C41=0,$E41=0,AND($E41&lt;&gt;0,$F41=0),AND($E41=Q$38,$G41=0),$H41=0)</f>
        <v>1</v>
      </c>
      <c r="R41" s="374"/>
      <c r="S41" s="289">
        <f t="shared" ref="S41:S72" si="12">IF($E41=S$37,1,0)</f>
        <v>0</v>
      </c>
      <c r="T41" s="237">
        <f t="shared" ref="T41:T72" si="13">IF($E41=T$37,$G41,0)</f>
        <v>0</v>
      </c>
      <c r="U41" s="289">
        <f t="shared" ref="U41:X60" si="14">IF(AND($E41=U$37,$F41=U$38),$J41,0)</f>
        <v>0</v>
      </c>
      <c r="V41" s="290">
        <f t="shared" si="14"/>
        <v>0</v>
      </c>
      <c r="W41" s="290">
        <f t="shared" si="14"/>
        <v>0</v>
      </c>
      <c r="X41" s="291">
        <f t="shared" si="14"/>
        <v>0</v>
      </c>
      <c r="Y41" s="237">
        <f t="shared" ref="Y41:Y72" si="15">IF($E41=Y$37,$J41,0)</f>
        <v>0</v>
      </c>
    </row>
    <row r="42" spans="1:34" ht="15" customHeight="1">
      <c r="A42" s="240">
        <f>A41+1</f>
        <v>2</v>
      </c>
      <c r="B42" s="241"/>
      <c r="C42" s="292"/>
      <c r="D42" s="242"/>
      <c r="E42" s="292"/>
      <c r="F42" s="604"/>
      <c r="G42" s="607">
        <f>IFERROR(INDEX(【様式３】シフト表!$AK$7:$AK$106,MATCH($O42,【様式３】シフト表!$B$7:$B$106,0),1),0)</f>
        <v>0</v>
      </c>
      <c r="H42" s="162"/>
      <c r="I42" s="243"/>
      <c r="J42" s="610" t="str">
        <f t="shared" ref="J42:J105" si="16">IF($B$35=B42,$J$35,IF(M42,IF(OR(Q42,P42),"エラー",IF(C42=$AA$32,IF(N42,$AA$27,$AA$31),C42)),"-"))</f>
        <v>-</v>
      </c>
      <c r="K42" s="1179"/>
      <c r="L42" s="401"/>
      <c r="M42" s="244" t="b">
        <f t="shared" si="9"/>
        <v>0</v>
      </c>
      <c r="N42" s="496" t="b">
        <f>AND($N$38,C42=$N$39,M42,COUNTIF($N$40:$N41,TRUE)=0)</f>
        <v>0</v>
      </c>
      <c r="O42" s="245">
        <f>IF($E42&lt;&gt;$O$38,0,COUNTIF($E$41:E42,$O$38))</f>
        <v>0</v>
      </c>
      <c r="P42" s="245" t="e">
        <f t="shared" si="10"/>
        <v>#VALUE!</v>
      </c>
      <c r="Q42" s="246" t="b">
        <f t="shared" si="11"/>
        <v>1</v>
      </c>
      <c r="R42" s="374"/>
      <c r="S42" s="293">
        <f t="shared" si="12"/>
        <v>0</v>
      </c>
      <c r="T42" s="248">
        <f t="shared" si="13"/>
        <v>0</v>
      </c>
      <c r="U42" s="293">
        <f t="shared" si="14"/>
        <v>0</v>
      </c>
      <c r="V42" s="248">
        <f t="shared" si="14"/>
        <v>0</v>
      </c>
      <c r="W42" s="248">
        <f t="shared" si="14"/>
        <v>0</v>
      </c>
      <c r="X42" s="294">
        <f t="shared" si="14"/>
        <v>0</v>
      </c>
      <c r="Y42" s="295">
        <f t="shared" si="15"/>
        <v>0</v>
      </c>
    </row>
    <row r="43" spans="1:34" ht="15" customHeight="1">
      <c r="A43" s="240">
        <f t="shared" ref="A43:A106" si="17">A42+1</f>
        <v>3</v>
      </c>
      <c r="B43" s="241"/>
      <c r="C43" s="292"/>
      <c r="D43" s="242"/>
      <c r="E43" s="292"/>
      <c r="F43" s="604"/>
      <c r="G43" s="607">
        <f>IFERROR(INDEX(【様式３】シフト表!$AK$7:$AK$106,MATCH($O43,【様式３】シフト表!$B$7:$B$106,0),1),0)</f>
        <v>0</v>
      </c>
      <c r="H43" s="162"/>
      <c r="I43" s="243"/>
      <c r="J43" s="610" t="str">
        <f t="shared" si="16"/>
        <v>-</v>
      </c>
      <c r="K43" s="1179"/>
      <c r="L43" s="401"/>
      <c r="M43" s="244" t="b">
        <f t="shared" si="9"/>
        <v>0</v>
      </c>
      <c r="N43" s="496" t="b">
        <f>AND($N$38,C43=$N$39,M43,COUNTIF($N$40:$N42,TRUE)=0)</f>
        <v>0</v>
      </c>
      <c r="O43" s="245">
        <f>IF($E43&lt;&gt;$O$38,0,COUNTIF($E$41:E43,$O$38))</f>
        <v>0</v>
      </c>
      <c r="P43" s="245" t="e">
        <f t="shared" si="10"/>
        <v>#VALUE!</v>
      </c>
      <c r="Q43" s="246" t="b">
        <f t="shared" si="11"/>
        <v>1</v>
      </c>
      <c r="R43" s="374"/>
      <c r="S43" s="293">
        <f t="shared" si="12"/>
        <v>0</v>
      </c>
      <c r="T43" s="248">
        <f t="shared" si="13"/>
        <v>0</v>
      </c>
      <c r="U43" s="293">
        <f t="shared" si="14"/>
        <v>0</v>
      </c>
      <c r="V43" s="248">
        <f t="shared" si="14"/>
        <v>0</v>
      </c>
      <c r="W43" s="248">
        <f t="shared" si="14"/>
        <v>0</v>
      </c>
      <c r="X43" s="294">
        <f t="shared" si="14"/>
        <v>0</v>
      </c>
      <c r="Y43" s="295">
        <f t="shared" si="15"/>
        <v>0</v>
      </c>
    </row>
    <row r="44" spans="1:34" ht="15" customHeight="1">
      <c r="A44" s="240">
        <f t="shared" si="17"/>
        <v>4</v>
      </c>
      <c r="B44" s="241"/>
      <c r="C44" s="292"/>
      <c r="D44" s="242"/>
      <c r="E44" s="292"/>
      <c r="F44" s="604"/>
      <c r="G44" s="607">
        <f>IFERROR(INDEX(【様式３】シフト表!$AK$7:$AK$106,MATCH($O44,【様式３】シフト表!$B$7:$B$106,0),1),0)</f>
        <v>0</v>
      </c>
      <c r="H44" s="162"/>
      <c r="I44" s="243"/>
      <c r="J44" s="610" t="str">
        <f t="shared" si="16"/>
        <v>-</v>
      </c>
      <c r="K44" s="1179"/>
      <c r="L44" s="401"/>
      <c r="M44" s="244" t="b">
        <f t="shared" si="9"/>
        <v>0</v>
      </c>
      <c r="N44" s="496" t="b">
        <f>AND($N$38,C44=$N$39,M44,COUNTIF($N$40:$N43,TRUE)=0)</f>
        <v>0</v>
      </c>
      <c r="O44" s="245">
        <f>IF($E44&lt;&gt;$O$38,0,COUNTIF($E$41:E44,$O$38))</f>
        <v>0</v>
      </c>
      <c r="P44" s="245" t="e">
        <f t="shared" si="10"/>
        <v>#VALUE!</v>
      </c>
      <c r="Q44" s="246" t="b">
        <f t="shared" si="11"/>
        <v>1</v>
      </c>
      <c r="R44" s="374"/>
      <c r="S44" s="293">
        <f t="shared" si="12"/>
        <v>0</v>
      </c>
      <c r="T44" s="248">
        <f t="shared" si="13"/>
        <v>0</v>
      </c>
      <c r="U44" s="293">
        <f t="shared" si="14"/>
        <v>0</v>
      </c>
      <c r="V44" s="248">
        <f t="shared" si="14"/>
        <v>0</v>
      </c>
      <c r="W44" s="248">
        <f t="shared" si="14"/>
        <v>0</v>
      </c>
      <c r="X44" s="294">
        <f t="shared" si="14"/>
        <v>0</v>
      </c>
      <c r="Y44" s="295">
        <f t="shared" si="15"/>
        <v>0</v>
      </c>
      <c r="AB44" s="149"/>
    </row>
    <row r="45" spans="1:34" ht="15" customHeight="1">
      <c r="A45" s="240">
        <f t="shared" si="17"/>
        <v>5</v>
      </c>
      <c r="B45" s="241"/>
      <c r="C45" s="292"/>
      <c r="D45" s="242"/>
      <c r="E45" s="292"/>
      <c r="F45" s="604"/>
      <c r="G45" s="607">
        <f>IFERROR(INDEX(【様式３】シフト表!$AK$7:$AK$106,MATCH($O45,【様式３】シフト表!$B$7:$B$106,0),1),0)</f>
        <v>0</v>
      </c>
      <c r="H45" s="162"/>
      <c r="I45" s="243"/>
      <c r="J45" s="610" t="str">
        <f t="shared" si="16"/>
        <v>-</v>
      </c>
      <c r="K45" s="1179"/>
      <c r="L45" s="401"/>
      <c r="M45" s="244" t="b">
        <f t="shared" si="9"/>
        <v>0</v>
      </c>
      <c r="N45" s="496" t="b">
        <f>AND($N$38,C45=$N$39,M45,COUNTIF($N$40:$N44,TRUE)=0)</f>
        <v>0</v>
      </c>
      <c r="O45" s="245">
        <f>IF($E45&lt;&gt;$O$38,0,COUNTIF($E$41:E45,$O$38))</f>
        <v>0</v>
      </c>
      <c r="P45" s="245" t="e">
        <f t="shared" si="10"/>
        <v>#VALUE!</v>
      </c>
      <c r="Q45" s="246" t="b">
        <f t="shared" si="11"/>
        <v>1</v>
      </c>
      <c r="R45" s="374"/>
      <c r="S45" s="293">
        <f t="shared" si="12"/>
        <v>0</v>
      </c>
      <c r="T45" s="248">
        <f t="shared" si="13"/>
        <v>0</v>
      </c>
      <c r="U45" s="293">
        <f t="shared" si="14"/>
        <v>0</v>
      </c>
      <c r="V45" s="248">
        <f t="shared" si="14"/>
        <v>0</v>
      </c>
      <c r="W45" s="248">
        <f t="shared" si="14"/>
        <v>0</v>
      </c>
      <c r="X45" s="294">
        <f t="shared" si="14"/>
        <v>0</v>
      </c>
      <c r="Y45" s="295">
        <f t="shared" si="15"/>
        <v>0</v>
      </c>
      <c r="AB45" s="149"/>
    </row>
    <row r="46" spans="1:34" ht="15" customHeight="1">
      <c r="A46" s="240">
        <f t="shared" si="17"/>
        <v>6</v>
      </c>
      <c r="B46" s="241"/>
      <c r="C46" s="292"/>
      <c r="D46" s="242"/>
      <c r="E46" s="292"/>
      <c r="F46" s="604"/>
      <c r="G46" s="607">
        <f>IFERROR(INDEX(【様式３】シフト表!$AK$7:$AK$106,MATCH($O46,【様式３】シフト表!$B$7:$B$106,0),1),0)</f>
        <v>0</v>
      </c>
      <c r="H46" s="162"/>
      <c r="I46" s="243"/>
      <c r="J46" s="610" t="str">
        <f t="shared" si="16"/>
        <v>-</v>
      </c>
      <c r="K46" s="1179"/>
      <c r="L46" s="401"/>
      <c r="M46" s="244" t="b">
        <f t="shared" si="9"/>
        <v>0</v>
      </c>
      <c r="N46" s="496" t="b">
        <f>AND($N$38,C46=$N$39,M46,COUNTIF($N$40:$N45,TRUE)=0)</f>
        <v>0</v>
      </c>
      <c r="O46" s="245">
        <f>IF($E46&lt;&gt;$O$38,0,COUNTIF($E$41:E46,$O$38))</f>
        <v>0</v>
      </c>
      <c r="P46" s="245" t="e">
        <f t="shared" si="10"/>
        <v>#VALUE!</v>
      </c>
      <c r="Q46" s="246" t="b">
        <f t="shared" si="11"/>
        <v>1</v>
      </c>
      <c r="R46" s="374"/>
      <c r="S46" s="293">
        <f t="shared" si="12"/>
        <v>0</v>
      </c>
      <c r="T46" s="248">
        <f t="shared" si="13"/>
        <v>0</v>
      </c>
      <c r="U46" s="293">
        <f t="shared" si="14"/>
        <v>0</v>
      </c>
      <c r="V46" s="248">
        <f t="shared" si="14"/>
        <v>0</v>
      </c>
      <c r="W46" s="248">
        <f t="shared" si="14"/>
        <v>0</v>
      </c>
      <c r="X46" s="294">
        <f t="shared" si="14"/>
        <v>0</v>
      </c>
      <c r="Y46" s="295">
        <f t="shared" si="15"/>
        <v>0</v>
      </c>
      <c r="Z46" s="149"/>
      <c r="AA46" s="149"/>
      <c r="AB46" s="149"/>
    </row>
    <row r="47" spans="1:34" ht="15" customHeight="1">
      <c r="A47" s="240">
        <f t="shared" si="17"/>
        <v>7</v>
      </c>
      <c r="B47" s="241"/>
      <c r="C47" s="292"/>
      <c r="D47" s="242"/>
      <c r="E47" s="292"/>
      <c r="F47" s="604"/>
      <c r="G47" s="607">
        <f>IFERROR(INDEX(【様式３】シフト表!$AK$7:$AK$106,MATCH($O47,【様式３】シフト表!$B$7:$B$106,0),1),0)</f>
        <v>0</v>
      </c>
      <c r="H47" s="162"/>
      <c r="I47" s="243"/>
      <c r="J47" s="610" t="str">
        <f t="shared" si="16"/>
        <v>-</v>
      </c>
      <c r="K47" s="1179"/>
      <c r="L47" s="401"/>
      <c r="M47" s="244" t="b">
        <f t="shared" si="9"/>
        <v>0</v>
      </c>
      <c r="N47" s="496" t="b">
        <f>AND($N$38,C47=$N$39,M47,COUNTIF($N$40:$N46,TRUE)=0)</f>
        <v>0</v>
      </c>
      <c r="O47" s="245">
        <f>IF($E47&lt;&gt;$O$38,0,COUNTIF($E$41:E47,$O$38))</f>
        <v>0</v>
      </c>
      <c r="P47" s="245" t="e">
        <f t="shared" si="10"/>
        <v>#VALUE!</v>
      </c>
      <c r="Q47" s="246" t="b">
        <f t="shared" si="11"/>
        <v>1</v>
      </c>
      <c r="R47" s="374"/>
      <c r="S47" s="293">
        <f t="shared" si="12"/>
        <v>0</v>
      </c>
      <c r="T47" s="248">
        <f t="shared" si="13"/>
        <v>0</v>
      </c>
      <c r="U47" s="293">
        <f t="shared" si="14"/>
        <v>0</v>
      </c>
      <c r="V47" s="248">
        <f t="shared" si="14"/>
        <v>0</v>
      </c>
      <c r="W47" s="248">
        <f t="shared" si="14"/>
        <v>0</v>
      </c>
      <c r="X47" s="294">
        <f t="shared" si="14"/>
        <v>0</v>
      </c>
      <c r="Y47" s="295">
        <f t="shared" si="15"/>
        <v>0</v>
      </c>
      <c r="Z47" s="149"/>
      <c r="AA47" s="149"/>
      <c r="AB47" s="149"/>
    </row>
    <row r="48" spans="1:34" ht="15" customHeight="1">
      <c r="A48" s="240">
        <f t="shared" si="17"/>
        <v>8</v>
      </c>
      <c r="B48" s="241"/>
      <c r="C48" s="292"/>
      <c r="D48" s="242"/>
      <c r="E48" s="292"/>
      <c r="F48" s="604"/>
      <c r="G48" s="607">
        <f>IFERROR(INDEX(【様式３】シフト表!$AK$7:$AK$106,MATCH($O48,【様式３】シフト表!$B$7:$B$106,0),1),0)</f>
        <v>0</v>
      </c>
      <c r="H48" s="162"/>
      <c r="I48" s="243"/>
      <c r="J48" s="610" t="str">
        <f t="shared" si="16"/>
        <v>-</v>
      </c>
      <c r="K48" s="1179"/>
      <c r="L48" s="401"/>
      <c r="M48" s="244" t="b">
        <f t="shared" si="9"/>
        <v>0</v>
      </c>
      <c r="N48" s="496" t="b">
        <f>AND($N$38,C48=$N$39,M48,COUNTIF($N$40:$N47,TRUE)=0)</f>
        <v>0</v>
      </c>
      <c r="O48" s="245">
        <f>IF($E48&lt;&gt;$O$38,0,COUNTIF($E$41:E48,$O$38))</f>
        <v>0</v>
      </c>
      <c r="P48" s="245" t="e">
        <f t="shared" si="10"/>
        <v>#VALUE!</v>
      </c>
      <c r="Q48" s="246" t="b">
        <f t="shared" si="11"/>
        <v>1</v>
      </c>
      <c r="R48" s="374"/>
      <c r="S48" s="293">
        <f t="shared" si="12"/>
        <v>0</v>
      </c>
      <c r="T48" s="248">
        <f t="shared" si="13"/>
        <v>0</v>
      </c>
      <c r="U48" s="293">
        <f t="shared" si="14"/>
        <v>0</v>
      </c>
      <c r="V48" s="248">
        <f t="shared" si="14"/>
        <v>0</v>
      </c>
      <c r="W48" s="248">
        <f t="shared" si="14"/>
        <v>0</v>
      </c>
      <c r="X48" s="294">
        <f t="shared" si="14"/>
        <v>0</v>
      </c>
      <c r="Y48" s="295">
        <f t="shared" si="15"/>
        <v>0</v>
      </c>
      <c r="Z48" s="149"/>
      <c r="AA48" s="149"/>
      <c r="AB48" s="149"/>
    </row>
    <row r="49" spans="1:28" ht="15" customHeight="1">
      <c r="A49" s="240">
        <f t="shared" si="17"/>
        <v>9</v>
      </c>
      <c r="B49" s="241"/>
      <c r="C49" s="292"/>
      <c r="D49" s="242"/>
      <c r="E49" s="292"/>
      <c r="F49" s="604"/>
      <c r="G49" s="607">
        <f>IFERROR(INDEX(【様式３】シフト表!$AK$7:$AK$106,MATCH($O49,【様式３】シフト表!$B$7:$B$106,0),1),0)</f>
        <v>0</v>
      </c>
      <c r="H49" s="162"/>
      <c r="I49" s="243"/>
      <c r="J49" s="610" t="str">
        <f t="shared" si="16"/>
        <v>-</v>
      </c>
      <c r="K49" s="1179"/>
      <c r="L49" s="401"/>
      <c r="M49" s="244" t="b">
        <f t="shared" si="9"/>
        <v>0</v>
      </c>
      <c r="N49" s="496" t="b">
        <f>AND($N$38,C49=$N$39,M49,COUNTIF($N$40:$N48,TRUE)=0)</f>
        <v>0</v>
      </c>
      <c r="O49" s="245">
        <f>IF($E49&lt;&gt;$O$38,0,COUNTIF($E$41:E49,$O$38))</f>
        <v>0</v>
      </c>
      <c r="P49" s="245" t="e">
        <f t="shared" si="10"/>
        <v>#VALUE!</v>
      </c>
      <c r="Q49" s="246" t="b">
        <f t="shared" si="11"/>
        <v>1</v>
      </c>
      <c r="R49" s="374"/>
      <c r="S49" s="293">
        <f t="shared" si="12"/>
        <v>0</v>
      </c>
      <c r="T49" s="248">
        <f t="shared" si="13"/>
        <v>0</v>
      </c>
      <c r="U49" s="293">
        <f t="shared" si="14"/>
        <v>0</v>
      </c>
      <c r="V49" s="248">
        <f t="shared" si="14"/>
        <v>0</v>
      </c>
      <c r="W49" s="248">
        <f t="shared" si="14"/>
        <v>0</v>
      </c>
      <c r="X49" s="294">
        <f t="shared" si="14"/>
        <v>0</v>
      </c>
      <c r="Y49" s="295">
        <f t="shared" si="15"/>
        <v>0</v>
      </c>
      <c r="Z49" s="149"/>
      <c r="AA49" s="149"/>
      <c r="AB49" s="149"/>
    </row>
    <row r="50" spans="1:28" ht="15" customHeight="1">
      <c r="A50" s="240">
        <f t="shared" si="17"/>
        <v>10</v>
      </c>
      <c r="B50" s="241"/>
      <c r="C50" s="292"/>
      <c r="D50" s="242"/>
      <c r="E50" s="292"/>
      <c r="F50" s="604"/>
      <c r="G50" s="607">
        <f>IFERROR(INDEX(【様式３】シフト表!$AK$7:$AK$106,MATCH($O50,【様式３】シフト表!$B$7:$B$106,0),1),0)</f>
        <v>0</v>
      </c>
      <c r="H50" s="162"/>
      <c r="I50" s="243"/>
      <c r="J50" s="610" t="str">
        <f t="shared" si="16"/>
        <v>-</v>
      </c>
      <c r="K50" s="1179"/>
      <c r="L50" s="401"/>
      <c r="M50" s="244" t="b">
        <f t="shared" si="9"/>
        <v>0</v>
      </c>
      <c r="N50" s="496" t="b">
        <f>AND($N$38,C50=$N$39,M50,COUNTIF($N$40:$N49,TRUE)=0)</f>
        <v>0</v>
      </c>
      <c r="O50" s="245">
        <f>IF($E50&lt;&gt;$O$38,0,COUNTIF($E$41:E50,$O$38))</f>
        <v>0</v>
      </c>
      <c r="P50" s="245" t="e">
        <f t="shared" si="10"/>
        <v>#VALUE!</v>
      </c>
      <c r="Q50" s="246" t="b">
        <f t="shared" si="11"/>
        <v>1</v>
      </c>
      <c r="R50" s="374"/>
      <c r="S50" s="293">
        <f t="shared" si="12"/>
        <v>0</v>
      </c>
      <c r="T50" s="248">
        <f t="shared" si="13"/>
        <v>0</v>
      </c>
      <c r="U50" s="293">
        <f t="shared" si="14"/>
        <v>0</v>
      </c>
      <c r="V50" s="248">
        <f t="shared" si="14"/>
        <v>0</v>
      </c>
      <c r="W50" s="248">
        <f t="shared" si="14"/>
        <v>0</v>
      </c>
      <c r="X50" s="294">
        <f t="shared" si="14"/>
        <v>0</v>
      </c>
      <c r="Y50" s="295">
        <f t="shared" si="15"/>
        <v>0</v>
      </c>
      <c r="Z50" s="149"/>
      <c r="AA50" s="149"/>
      <c r="AB50" s="149"/>
    </row>
    <row r="51" spans="1:28" ht="15" customHeight="1">
      <c r="A51" s="240">
        <f t="shared" si="17"/>
        <v>11</v>
      </c>
      <c r="B51" s="241"/>
      <c r="C51" s="292"/>
      <c r="D51" s="242"/>
      <c r="E51" s="292"/>
      <c r="F51" s="604"/>
      <c r="G51" s="607">
        <f>IFERROR(INDEX(【様式３】シフト表!$AK$7:$AK$106,MATCH($O51,【様式３】シフト表!$B$7:$B$106,0),1),0)</f>
        <v>0</v>
      </c>
      <c r="H51" s="162"/>
      <c r="I51" s="243"/>
      <c r="J51" s="610" t="str">
        <f t="shared" si="16"/>
        <v>-</v>
      </c>
      <c r="K51" s="1179"/>
      <c r="L51" s="401"/>
      <c r="M51" s="244" t="b">
        <f t="shared" si="9"/>
        <v>0</v>
      </c>
      <c r="N51" s="496" t="b">
        <f>AND($N$38,C51=$N$39,M51,COUNTIF($N$40:$N50,TRUE)=0)</f>
        <v>0</v>
      </c>
      <c r="O51" s="245">
        <f>IF($E51&lt;&gt;$O$38,0,COUNTIF($E$41:E51,$O$38))</f>
        <v>0</v>
      </c>
      <c r="P51" s="245" t="e">
        <f t="shared" si="10"/>
        <v>#VALUE!</v>
      </c>
      <c r="Q51" s="246" t="b">
        <f t="shared" si="11"/>
        <v>1</v>
      </c>
      <c r="R51" s="374"/>
      <c r="S51" s="293">
        <f t="shared" si="12"/>
        <v>0</v>
      </c>
      <c r="T51" s="248">
        <f t="shared" si="13"/>
        <v>0</v>
      </c>
      <c r="U51" s="293">
        <f t="shared" si="14"/>
        <v>0</v>
      </c>
      <c r="V51" s="248">
        <f t="shared" si="14"/>
        <v>0</v>
      </c>
      <c r="W51" s="248">
        <f t="shared" si="14"/>
        <v>0</v>
      </c>
      <c r="X51" s="294">
        <f t="shared" si="14"/>
        <v>0</v>
      </c>
      <c r="Y51" s="295">
        <f t="shared" si="15"/>
        <v>0</v>
      </c>
      <c r="Z51" s="149"/>
      <c r="AA51" s="149"/>
      <c r="AB51" s="149"/>
    </row>
    <row r="52" spans="1:28" ht="15" customHeight="1">
      <c r="A52" s="240">
        <f t="shared" si="17"/>
        <v>12</v>
      </c>
      <c r="B52" s="241"/>
      <c r="C52" s="292"/>
      <c r="D52" s="242"/>
      <c r="E52" s="292"/>
      <c r="F52" s="604"/>
      <c r="G52" s="607">
        <f>IFERROR(INDEX(【様式３】シフト表!$AK$7:$AK$106,MATCH($O52,【様式３】シフト表!$B$7:$B$106,0),1),0)</f>
        <v>0</v>
      </c>
      <c r="H52" s="162"/>
      <c r="I52" s="243"/>
      <c r="J52" s="610" t="str">
        <f t="shared" si="16"/>
        <v>-</v>
      </c>
      <c r="K52" s="1179"/>
      <c r="L52" s="401"/>
      <c r="M52" s="244" t="b">
        <f t="shared" si="9"/>
        <v>0</v>
      </c>
      <c r="N52" s="496" t="b">
        <f>AND($N$38,C52=$N$39,M52,COUNTIF($N$40:$N51,TRUE)=0)</f>
        <v>0</v>
      </c>
      <c r="O52" s="245">
        <f>IF($E52&lt;&gt;$O$38,0,COUNTIF($E$41:E52,$O$38))</f>
        <v>0</v>
      </c>
      <c r="P52" s="245" t="e">
        <f t="shared" si="10"/>
        <v>#VALUE!</v>
      </c>
      <c r="Q52" s="246" t="b">
        <f t="shared" si="11"/>
        <v>1</v>
      </c>
      <c r="R52" s="374"/>
      <c r="S52" s="293">
        <f t="shared" si="12"/>
        <v>0</v>
      </c>
      <c r="T52" s="248">
        <f t="shared" si="13"/>
        <v>0</v>
      </c>
      <c r="U52" s="293">
        <f t="shared" si="14"/>
        <v>0</v>
      </c>
      <c r="V52" s="248">
        <f t="shared" si="14"/>
        <v>0</v>
      </c>
      <c r="W52" s="248">
        <f t="shared" si="14"/>
        <v>0</v>
      </c>
      <c r="X52" s="294">
        <f t="shared" si="14"/>
        <v>0</v>
      </c>
      <c r="Y52" s="295">
        <f t="shared" si="15"/>
        <v>0</v>
      </c>
      <c r="Z52" s="149"/>
      <c r="AA52" s="149"/>
      <c r="AB52" s="149"/>
    </row>
    <row r="53" spans="1:28" ht="15" customHeight="1">
      <c r="A53" s="240">
        <f t="shared" si="17"/>
        <v>13</v>
      </c>
      <c r="B53" s="241"/>
      <c r="C53" s="292"/>
      <c r="D53" s="242"/>
      <c r="E53" s="292"/>
      <c r="F53" s="604"/>
      <c r="G53" s="607">
        <f>IFERROR(INDEX(【様式３】シフト表!$AK$7:$AK$106,MATCH($O53,【様式３】シフト表!$B$7:$B$106,0),1),0)</f>
        <v>0</v>
      </c>
      <c r="H53" s="162"/>
      <c r="I53" s="243"/>
      <c r="J53" s="610" t="str">
        <f t="shared" si="16"/>
        <v>-</v>
      </c>
      <c r="K53" s="1179"/>
      <c r="L53" s="401"/>
      <c r="M53" s="244" t="b">
        <f t="shared" si="9"/>
        <v>0</v>
      </c>
      <c r="N53" s="496" t="b">
        <f>AND($N$38,C53=$N$39,M53,COUNTIF($N$40:$N52,TRUE)=0)</f>
        <v>0</v>
      </c>
      <c r="O53" s="245">
        <f>IF($E53&lt;&gt;$O$38,0,COUNTIF($E$41:E53,$O$38))</f>
        <v>0</v>
      </c>
      <c r="P53" s="245" t="e">
        <f t="shared" si="10"/>
        <v>#VALUE!</v>
      </c>
      <c r="Q53" s="246" t="b">
        <f t="shared" si="11"/>
        <v>1</v>
      </c>
      <c r="R53" s="374"/>
      <c r="S53" s="293">
        <f t="shared" si="12"/>
        <v>0</v>
      </c>
      <c r="T53" s="248">
        <f t="shared" si="13"/>
        <v>0</v>
      </c>
      <c r="U53" s="293">
        <f t="shared" si="14"/>
        <v>0</v>
      </c>
      <c r="V53" s="248">
        <f t="shared" si="14"/>
        <v>0</v>
      </c>
      <c r="W53" s="248">
        <f t="shared" si="14"/>
        <v>0</v>
      </c>
      <c r="X53" s="294">
        <f t="shared" si="14"/>
        <v>0</v>
      </c>
      <c r="Y53" s="295">
        <f t="shared" si="15"/>
        <v>0</v>
      </c>
      <c r="Z53" s="149"/>
      <c r="AA53" s="149"/>
      <c r="AB53" s="149"/>
    </row>
    <row r="54" spans="1:28" ht="15" customHeight="1">
      <c r="A54" s="240">
        <f t="shared" si="17"/>
        <v>14</v>
      </c>
      <c r="B54" s="241"/>
      <c r="C54" s="292"/>
      <c r="D54" s="242"/>
      <c r="E54" s="292"/>
      <c r="F54" s="604"/>
      <c r="G54" s="607">
        <f>IFERROR(INDEX(【様式３】シフト表!$AK$7:$AK$106,MATCH($O54,【様式３】シフト表!$B$7:$B$106,0),1),0)</f>
        <v>0</v>
      </c>
      <c r="H54" s="162"/>
      <c r="I54" s="243"/>
      <c r="J54" s="610" t="str">
        <f t="shared" si="16"/>
        <v>-</v>
      </c>
      <c r="K54" s="1179"/>
      <c r="L54" s="401"/>
      <c r="M54" s="244" t="b">
        <f t="shared" si="9"/>
        <v>0</v>
      </c>
      <c r="N54" s="496" t="b">
        <f>AND($N$38,C54=$N$39,M54,COUNTIF($N$40:$N53,TRUE)=0)</f>
        <v>0</v>
      </c>
      <c r="O54" s="245">
        <f>IF($E54&lt;&gt;$O$38,0,COUNTIF($E$41:E54,$O$38))</f>
        <v>0</v>
      </c>
      <c r="P54" s="245" t="e">
        <f t="shared" si="10"/>
        <v>#VALUE!</v>
      </c>
      <c r="Q54" s="246" t="b">
        <f t="shared" si="11"/>
        <v>1</v>
      </c>
      <c r="R54" s="374"/>
      <c r="S54" s="293">
        <f t="shared" si="12"/>
        <v>0</v>
      </c>
      <c r="T54" s="248">
        <f t="shared" si="13"/>
        <v>0</v>
      </c>
      <c r="U54" s="293">
        <f t="shared" si="14"/>
        <v>0</v>
      </c>
      <c r="V54" s="248">
        <f t="shared" si="14"/>
        <v>0</v>
      </c>
      <c r="W54" s="248">
        <f t="shared" si="14"/>
        <v>0</v>
      </c>
      <c r="X54" s="294">
        <f t="shared" si="14"/>
        <v>0</v>
      </c>
      <c r="Y54" s="295">
        <f t="shared" si="15"/>
        <v>0</v>
      </c>
      <c r="Z54" s="149"/>
      <c r="AA54" s="149"/>
      <c r="AB54" s="149"/>
    </row>
    <row r="55" spans="1:28" ht="15" customHeight="1">
      <c r="A55" s="240">
        <f t="shared" si="17"/>
        <v>15</v>
      </c>
      <c r="B55" s="241"/>
      <c r="C55" s="292"/>
      <c r="D55" s="242"/>
      <c r="E55" s="292"/>
      <c r="F55" s="604"/>
      <c r="G55" s="607">
        <f>IFERROR(INDEX(【様式３】シフト表!$AK$7:$AK$106,MATCH($O55,【様式３】シフト表!$B$7:$B$106,0),1),0)</f>
        <v>0</v>
      </c>
      <c r="H55" s="162"/>
      <c r="I55" s="243"/>
      <c r="J55" s="610" t="str">
        <f t="shared" si="16"/>
        <v>-</v>
      </c>
      <c r="K55" s="1179"/>
      <c r="L55" s="401"/>
      <c r="M55" s="244" t="b">
        <f t="shared" si="9"/>
        <v>0</v>
      </c>
      <c r="N55" s="496" t="b">
        <f>AND($N$38,C55=$N$39,M55,COUNTIF($N$40:$N54,TRUE)=0)</f>
        <v>0</v>
      </c>
      <c r="O55" s="245">
        <f>IF($E55&lt;&gt;$O$38,0,COUNTIF($E$41:E55,$O$38))</f>
        <v>0</v>
      </c>
      <c r="P55" s="245" t="e">
        <f t="shared" si="10"/>
        <v>#VALUE!</v>
      </c>
      <c r="Q55" s="246" t="b">
        <f t="shared" si="11"/>
        <v>1</v>
      </c>
      <c r="R55" s="374"/>
      <c r="S55" s="293">
        <f t="shared" si="12"/>
        <v>0</v>
      </c>
      <c r="T55" s="248">
        <f t="shared" si="13"/>
        <v>0</v>
      </c>
      <c r="U55" s="293">
        <f t="shared" si="14"/>
        <v>0</v>
      </c>
      <c r="V55" s="248">
        <f t="shared" si="14"/>
        <v>0</v>
      </c>
      <c r="W55" s="248">
        <f t="shared" si="14"/>
        <v>0</v>
      </c>
      <c r="X55" s="294">
        <f t="shared" si="14"/>
        <v>0</v>
      </c>
      <c r="Y55" s="295">
        <f t="shared" si="15"/>
        <v>0</v>
      </c>
      <c r="Z55" s="149"/>
      <c r="AA55" s="149"/>
      <c r="AB55" s="149"/>
    </row>
    <row r="56" spans="1:28" ht="15" customHeight="1">
      <c r="A56" s="240">
        <f t="shared" si="17"/>
        <v>16</v>
      </c>
      <c r="B56" s="241"/>
      <c r="C56" s="292"/>
      <c r="D56" s="242"/>
      <c r="E56" s="292"/>
      <c r="F56" s="604"/>
      <c r="G56" s="607">
        <f>IFERROR(INDEX(【様式３】シフト表!$AK$7:$AK$106,MATCH($O56,【様式３】シフト表!$B$7:$B$106,0),1),0)</f>
        <v>0</v>
      </c>
      <c r="H56" s="162"/>
      <c r="I56" s="243"/>
      <c r="J56" s="610" t="str">
        <f t="shared" si="16"/>
        <v>-</v>
      </c>
      <c r="K56" s="1179"/>
      <c r="L56" s="401"/>
      <c r="M56" s="244" t="b">
        <f t="shared" si="9"/>
        <v>0</v>
      </c>
      <c r="N56" s="496" t="b">
        <f>AND($N$38,C56=$N$39,M56,COUNTIF($N$40:$N55,TRUE)=0)</f>
        <v>0</v>
      </c>
      <c r="O56" s="245">
        <f>IF($E56&lt;&gt;$O$38,0,COUNTIF($E$41:E56,$O$38))</f>
        <v>0</v>
      </c>
      <c r="P56" s="245" t="e">
        <f t="shared" si="10"/>
        <v>#VALUE!</v>
      </c>
      <c r="Q56" s="246" t="b">
        <f t="shared" si="11"/>
        <v>1</v>
      </c>
      <c r="R56" s="374"/>
      <c r="S56" s="293">
        <f t="shared" si="12"/>
        <v>0</v>
      </c>
      <c r="T56" s="248">
        <f t="shared" si="13"/>
        <v>0</v>
      </c>
      <c r="U56" s="293">
        <f t="shared" si="14"/>
        <v>0</v>
      </c>
      <c r="V56" s="248">
        <f t="shared" si="14"/>
        <v>0</v>
      </c>
      <c r="W56" s="248">
        <f t="shared" si="14"/>
        <v>0</v>
      </c>
      <c r="X56" s="294">
        <f t="shared" si="14"/>
        <v>0</v>
      </c>
      <c r="Y56" s="295">
        <f t="shared" si="15"/>
        <v>0</v>
      </c>
      <c r="Z56" s="149"/>
      <c r="AA56" s="149"/>
      <c r="AB56" s="149"/>
    </row>
    <row r="57" spans="1:28" ht="15" customHeight="1">
      <c r="A57" s="240">
        <f t="shared" si="17"/>
        <v>17</v>
      </c>
      <c r="B57" s="241"/>
      <c r="C57" s="292"/>
      <c r="D57" s="242"/>
      <c r="E57" s="292"/>
      <c r="F57" s="604"/>
      <c r="G57" s="607">
        <f>IFERROR(INDEX(【様式３】シフト表!$AK$7:$AK$106,MATCH($O57,【様式３】シフト表!$B$7:$B$106,0),1),0)</f>
        <v>0</v>
      </c>
      <c r="H57" s="162"/>
      <c r="I57" s="243"/>
      <c r="J57" s="610" t="str">
        <f t="shared" si="16"/>
        <v>-</v>
      </c>
      <c r="K57" s="1179"/>
      <c r="L57" s="401"/>
      <c r="M57" s="244" t="b">
        <f t="shared" si="9"/>
        <v>0</v>
      </c>
      <c r="N57" s="496" t="b">
        <f>AND($N$38,C57=$N$39,M57,COUNTIF($N$40:$N56,TRUE)=0)</f>
        <v>0</v>
      </c>
      <c r="O57" s="245">
        <f>IF($E57&lt;&gt;$O$38,0,COUNTIF($E$41:E57,$O$38))</f>
        <v>0</v>
      </c>
      <c r="P57" s="245" t="e">
        <f t="shared" si="10"/>
        <v>#VALUE!</v>
      </c>
      <c r="Q57" s="246" t="b">
        <f t="shared" si="11"/>
        <v>1</v>
      </c>
      <c r="R57" s="374"/>
      <c r="S57" s="293">
        <f t="shared" si="12"/>
        <v>0</v>
      </c>
      <c r="T57" s="248">
        <f t="shared" si="13"/>
        <v>0</v>
      </c>
      <c r="U57" s="293">
        <f t="shared" si="14"/>
        <v>0</v>
      </c>
      <c r="V57" s="248">
        <f t="shared" si="14"/>
        <v>0</v>
      </c>
      <c r="W57" s="248">
        <f t="shared" si="14"/>
        <v>0</v>
      </c>
      <c r="X57" s="294">
        <f t="shared" si="14"/>
        <v>0</v>
      </c>
      <c r="Y57" s="295">
        <f t="shared" si="15"/>
        <v>0</v>
      </c>
      <c r="Z57" s="149"/>
      <c r="AA57" s="149"/>
      <c r="AB57" s="149"/>
    </row>
    <row r="58" spans="1:28" ht="15" customHeight="1">
      <c r="A58" s="240">
        <f t="shared" si="17"/>
        <v>18</v>
      </c>
      <c r="B58" s="241"/>
      <c r="C58" s="292"/>
      <c r="D58" s="242"/>
      <c r="E58" s="292"/>
      <c r="F58" s="604"/>
      <c r="G58" s="607">
        <f>IFERROR(INDEX(【様式３】シフト表!$AK$7:$AK$106,MATCH($O58,【様式３】シフト表!$B$7:$B$106,0),1),0)</f>
        <v>0</v>
      </c>
      <c r="H58" s="162"/>
      <c r="I58" s="243"/>
      <c r="J58" s="610" t="str">
        <f t="shared" si="16"/>
        <v>-</v>
      </c>
      <c r="K58" s="1179"/>
      <c r="L58" s="401"/>
      <c r="M58" s="244" t="b">
        <f t="shared" si="9"/>
        <v>0</v>
      </c>
      <c r="N58" s="496" t="b">
        <f>AND($N$38,C58=$N$39,M58,COUNTIF($N$40:$N57,TRUE)=0)</f>
        <v>0</v>
      </c>
      <c r="O58" s="245">
        <f>IF($E58&lt;&gt;$O$38,0,COUNTIF($E$41:E58,$O$38))</f>
        <v>0</v>
      </c>
      <c r="P58" s="245" t="e">
        <f t="shared" si="10"/>
        <v>#VALUE!</v>
      </c>
      <c r="Q58" s="246" t="b">
        <f t="shared" si="11"/>
        <v>1</v>
      </c>
      <c r="R58" s="374"/>
      <c r="S58" s="293">
        <f t="shared" si="12"/>
        <v>0</v>
      </c>
      <c r="T58" s="248">
        <f t="shared" si="13"/>
        <v>0</v>
      </c>
      <c r="U58" s="293">
        <f t="shared" si="14"/>
        <v>0</v>
      </c>
      <c r="V58" s="248">
        <f t="shared" si="14"/>
        <v>0</v>
      </c>
      <c r="W58" s="248">
        <f t="shared" si="14"/>
        <v>0</v>
      </c>
      <c r="X58" s="294">
        <f t="shared" si="14"/>
        <v>0</v>
      </c>
      <c r="Y58" s="295">
        <f t="shared" si="15"/>
        <v>0</v>
      </c>
      <c r="Z58" s="149"/>
      <c r="AA58" s="149"/>
      <c r="AB58" s="149"/>
    </row>
    <row r="59" spans="1:28" ht="15" customHeight="1">
      <c r="A59" s="240">
        <f t="shared" si="17"/>
        <v>19</v>
      </c>
      <c r="B59" s="241"/>
      <c r="C59" s="292"/>
      <c r="D59" s="242"/>
      <c r="E59" s="292"/>
      <c r="F59" s="604"/>
      <c r="G59" s="607">
        <f>IFERROR(INDEX(【様式３】シフト表!$AK$7:$AK$106,MATCH($O59,【様式３】シフト表!$B$7:$B$106,0),1),0)</f>
        <v>0</v>
      </c>
      <c r="H59" s="162"/>
      <c r="I59" s="243"/>
      <c r="J59" s="610" t="str">
        <f t="shared" si="16"/>
        <v>-</v>
      </c>
      <c r="K59" s="1179"/>
      <c r="L59" s="401"/>
      <c r="M59" s="244" t="b">
        <f t="shared" si="9"/>
        <v>0</v>
      </c>
      <c r="N59" s="496" t="b">
        <f>AND($N$38,C59=$N$39,M59,COUNTIF($N$40:$N58,TRUE)=0)</f>
        <v>0</v>
      </c>
      <c r="O59" s="245">
        <f>IF($E59&lt;&gt;$O$38,0,COUNTIF($E$41:E59,$O$38))</f>
        <v>0</v>
      </c>
      <c r="P59" s="245" t="e">
        <f t="shared" si="10"/>
        <v>#VALUE!</v>
      </c>
      <c r="Q59" s="246" t="b">
        <f t="shared" si="11"/>
        <v>1</v>
      </c>
      <c r="R59" s="374"/>
      <c r="S59" s="293">
        <f t="shared" si="12"/>
        <v>0</v>
      </c>
      <c r="T59" s="248">
        <f t="shared" si="13"/>
        <v>0</v>
      </c>
      <c r="U59" s="293">
        <f t="shared" si="14"/>
        <v>0</v>
      </c>
      <c r="V59" s="248">
        <f t="shared" si="14"/>
        <v>0</v>
      </c>
      <c r="W59" s="248">
        <f t="shared" si="14"/>
        <v>0</v>
      </c>
      <c r="X59" s="294">
        <f t="shared" si="14"/>
        <v>0</v>
      </c>
      <c r="Y59" s="295">
        <f t="shared" si="15"/>
        <v>0</v>
      </c>
      <c r="Z59" s="149"/>
      <c r="AA59" s="149"/>
      <c r="AB59" s="149"/>
    </row>
    <row r="60" spans="1:28" ht="15" customHeight="1">
      <c r="A60" s="240">
        <f t="shared" si="17"/>
        <v>20</v>
      </c>
      <c r="B60" s="241"/>
      <c r="C60" s="292"/>
      <c r="D60" s="242"/>
      <c r="E60" s="292"/>
      <c r="F60" s="604"/>
      <c r="G60" s="607">
        <f>IFERROR(INDEX(【様式３】シフト表!$AK$7:$AK$106,MATCH($O60,【様式３】シフト表!$B$7:$B$106,0),1),0)</f>
        <v>0</v>
      </c>
      <c r="H60" s="162"/>
      <c r="I60" s="243"/>
      <c r="J60" s="610" t="str">
        <f t="shared" si="16"/>
        <v>-</v>
      </c>
      <c r="K60" s="1179"/>
      <c r="L60" s="401"/>
      <c r="M60" s="244" t="b">
        <f t="shared" si="9"/>
        <v>0</v>
      </c>
      <c r="N60" s="496" t="b">
        <f>AND($N$38,C60=$N$39,M60,COUNTIF($N$40:$N59,TRUE)=0)</f>
        <v>0</v>
      </c>
      <c r="O60" s="245">
        <f>IF($E60&lt;&gt;$O$38,0,COUNTIF($E$41:E60,$O$38))</f>
        <v>0</v>
      </c>
      <c r="P60" s="245" t="e">
        <f t="shared" si="10"/>
        <v>#VALUE!</v>
      </c>
      <c r="Q60" s="246" t="b">
        <f t="shared" si="11"/>
        <v>1</v>
      </c>
      <c r="R60" s="374"/>
      <c r="S60" s="293">
        <f t="shared" si="12"/>
        <v>0</v>
      </c>
      <c r="T60" s="248">
        <f t="shared" si="13"/>
        <v>0</v>
      </c>
      <c r="U60" s="293">
        <f t="shared" si="14"/>
        <v>0</v>
      </c>
      <c r="V60" s="248">
        <f t="shared" si="14"/>
        <v>0</v>
      </c>
      <c r="W60" s="248">
        <f t="shared" si="14"/>
        <v>0</v>
      </c>
      <c r="X60" s="294">
        <f t="shared" si="14"/>
        <v>0</v>
      </c>
      <c r="Y60" s="295">
        <f t="shared" si="15"/>
        <v>0</v>
      </c>
      <c r="Z60" s="149"/>
      <c r="AA60" s="149"/>
      <c r="AB60" s="149"/>
    </row>
    <row r="61" spans="1:28" ht="15" customHeight="1">
      <c r="A61" s="240">
        <f t="shared" si="17"/>
        <v>21</v>
      </c>
      <c r="B61" s="241"/>
      <c r="C61" s="292"/>
      <c r="D61" s="242"/>
      <c r="E61" s="292"/>
      <c r="F61" s="604"/>
      <c r="G61" s="607">
        <f>IFERROR(INDEX(【様式３】シフト表!$AK$7:$AK$106,MATCH($O61,【様式３】シフト表!$B$7:$B$106,0),1),0)</f>
        <v>0</v>
      </c>
      <c r="H61" s="162"/>
      <c r="I61" s="243"/>
      <c r="J61" s="610" t="str">
        <f t="shared" si="16"/>
        <v>-</v>
      </c>
      <c r="K61" s="1179"/>
      <c r="L61" s="401"/>
      <c r="M61" s="244" t="b">
        <f t="shared" si="9"/>
        <v>0</v>
      </c>
      <c r="N61" s="496" t="b">
        <f>AND($N$38,C61=$N$39,M61,COUNTIF($N$40:$N60,TRUE)=0)</f>
        <v>0</v>
      </c>
      <c r="O61" s="245">
        <f>IF($E61&lt;&gt;$O$38,0,COUNTIF($E$41:E61,$O$38))</f>
        <v>0</v>
      </c>
      <c r="P61" s="245" t="e">
        <f t="shared" si="10"/>
        <v>#VALUE!</v>
      </c>
      <c r="Q61" s="246" t="b">
        <f t="shared" si="11"/>
        <v>1</v>
      </c>
      <c r="R61" s="374"/>
      <c r="S61" s="293">
        <f t="shared" si="12"/>
        <v>0</v>
      </c>
      <c r="T61" s="248">
        <f t="shared" si="13"/>
        <v>0</v>
      </c>
      <c r="U61" s="293">
        <f t="shared" ref="U61:X80" si="18">IF(AND($E61=U$37,$F61=U$38),$J61,0)</f>
        <v>0</v>
      </c>
      <c r="V61" s="248">
        <f t="shared" si="18"/>
        <v>0</v>
      </c>
      <c r="W61" s="248">
        <f t="shared" si="18"/>
        <v>0</v>
      </c>
      <c r="X61" s="294">
        <f t="shared" si="18"/>
        <v>0</v>
      </c>
      <c r="Y61" s="295">
        <f t="shared" si="15"/>
        <v>0</v>
      </c>
      <c r="Z61" s="149"/>
      <c r="AA61" s="149"/>
      <c r="AB61" s="149"/>
    </row>
    <row r="62" spans="1:28" ht="15" customHeight="1">
      <c r="A62" s="240">
        <f t="shared" si="17"/>
        <v>22</v>
      </c>
      <c r="B62" s="241"/>
      <c r="C62" s="292"/>
      <c r="D62" s="242"/>
      <c r="E62" s="292"/>
      <c r="F62" s="604"/>
      <c r="G62" s="607">
        <f>IFERROR(INDEX(【様式３】シフト表!$AK$7:$AK$106,MATCH($O62,【様式３】シフト表!$B$7:$B$106,0),1),0)</f>
        <v>0</v>
      </c>
      <c r="H62" s="162"/>
      <c r="I62" s="243"/>
      <c r="J62" s="610" t="str">
        <f t="shared" si="16"/>
        <v>-</v>
      </c>
      <c r="K62" s="1179"/>
      <c r="L62" s="401"/>
      <c r="M62" s="244" t="b">
        <f t="shared" si="9"/>
        <v>0</v>
      </c>
      <c r="N62" s="496" t="b">
        <f>AND($N$38,C62=$N$39,M62,COUNTIF($N$40:$N61,TRUE)=0)</f>
        <v>0</v>
      </c>
      <c r="O62" s="245">
        <f>IF($E62&lt;&gt;$O$38,0,COUNTIF($E$41:E62,$O$38))</f>
        <v>0</v>
      </c>
      <c r="P62" s="245" t="e">
        <f t="shared" si="10"/>
        <v>#VALUE!</v>
      </c>
      <c r="Q62" s="246" t="b">
        <f t="shared" si="11"/>
        <v>1</v>
      </c>
      <c r="R62" s="374"/>
      <c r="S62" s="293">
        <f t="shared" si="12"/>
        <v>0</v>
      </c>
      <c r="T62" s="248">
        <f t="shared" si="13"/>
        <v>0</v>
      </c>
      <c r="U62" s="293">
        <f t="shared" si="18"/>
        <v>0</v>
      </c>
      <c r="V62" s="248">
        <f t="shared" si="18"/>
        <v>0</v>
      </c>
      <c r="W62" s="248">
        <f t="shared" si="18"/>
        <v>0</v>
      </c>
      <c r="X62" s="294">
        <f t="shared" si="18"/>
        <v>0</v>
      </c>
      <c r="Y62" s="295">
        <f t="shared" si="15"/>
        <v>0</v>
      </c>
      <c r="Z62" s="149"/>
      <c r="AA62" s="149"/>
      <c r="AB62" s="149"/>
    </row>
    <row r="63" spans="1:28" ht="15" customHeight="1">
      <c r="A63" s="240">
        <f t="shared" si="17"/>
        <v>23</v>
      </c>
      <c r="B63" s="241"/>
      <c r="C63" s="292"/>
      <c r="D63" s="242"/>
      <c r="E63" s="292"/>
      <c r="F63" s="604"/>
      <c r="G63" s="607">
        <f>IFERROR(INDEX(【様式３】シフト表!$AK$7:$AK$106,MATCH($O63,【様式３】シフト表!$B$7:$B$106,0),1),0)</f>
        <v>0</v>
      </c>
      <c r="H63" s="162"/>
      <c r="I63" s="243"/>
      <c r="J63" s="610" t="str">
        <f t="shared" si="16"/>
        <v>-</v>
      </c>
      <c r="K63" s="1179"/>
      <c r="L63" s="401"/>
      <c r="M63" s="244" t="b">
        <f t="shared" si="9"/>
        <v>0</v>
      </c>
      <c r="N63" s="496" t="b">
        <f>AND($N$38,C63=$N$39,M63,COUNTIF($N$40:$N62,TRUE)=0)</f>
        <v>0</v>
      </c>
      <c r="O63" s="245">
        <f>IF($E63&lt;&gt;$O$38,0,COUNTIF($E$41:E63,$O$38))</f>
        <v>0</v>
      </c>
      <c r="P63" s="245" t="e">
        <f t="shared" si="10"/>
        <v>#VALUE!</v>
      </c>
      <c r="Q63" s="246" t="b">
        <f t="shared" si="11"/>
        <v>1</v>
      </c>
      <c r="R63" s="374"/>
      <c r="S63" s="293">
        <f t="shared" si="12"/>
        <v>0</v>
      </c>
      <c r="T63" s="248">
        <f t="shared" si="13"/>
        <v>0</v>
      </c>
      <c r="U63" s="293">
        <f t="shared" si="18"/>
        <v>0</v>
      </c>
      <c r="V63" s="248">
        <f t="shared" si="18"/>
        <v>0</v>
      </c>
      <c r="W63" s="248">
        <f t="shared" si="18"/>
        <v>0</v>
      </c>
      <c r="X63" s="294">
        <f t="shared" si="18"/>
        <v>0</v>
      </c>
      <c r="Y63" s="295">
        <f t="shared" si="15"/>
        <v>0</v>
      </c>
      <c r="Z63" s="149"/>
      <c r="AA63" s="149"/>
      <c r="AB63" s="149"/>
    </row>
    <row r="64" spans="1:28" ht="15" customHeight="1">
      <c r="A64" s="240">
        <f t="shared" si="17"/>
        <v>24</v>
      </c>
      <c r="B64" s="241"/>
      <c r="C64" s="292"/>
      <c r="D64" s="242"/>
      <c r="E64" s="292"/>
      <c r="F64" s="604"/>
      <c r="G64" s="607">
        <f>IFERROR(INDEX(【様式３】シフト表!$AK$7:$AK$106,MATCH($O64,【様式３】シフト表!$B$7:$B$106,0),1),0)</f>
        <v>0</v>
      </c>
      <c r="H64" s="162"/>
      <c r="I64" s="243"/>
      <c r="J64" s="610" t="str">
        <f t="shared" si="16"/>
        <v>-</v>
      </c>
      <c r="K64" s="1179"/>
      <c r="L64" s="401"/>
      <c r="M64" s="244" t="b">
        <f t="shared" si="9"/>
        <v>0</v>
      </c>
      <c r="N64" s="496" t="b">
        <f>AND($N$38,C64=$N$39,M64,COUNTIF($N$40:$N63,TRUE)=0)</f>
        <v>0</v>
      </c>
      <c r="O64" s="245">
        <f>IF($E64&lt;&gt;$O$38,0,COUNTIF($E$41:E64,$O$38))</f>
        <v>0</v>
      </c>
      <c r="P64" s="245" t="e">
        <f t="shared" si="10"/>
        <v>#VALUE!</v>
      </c>
      <c r="Q64" s="246" t="b">
        <f t="shared" si="11"/>
        <v>1</v>
      </c>
      <c r="R64" s="374"/>
      <c r="S64" s="293">
        <f t="shared" si="12"/>
        <v>0</v>
      </c>
      <c r="T64" s="248">
        <f t="shared" si="13"/>
        <v>0</v>
      </c>
      <c r="U64" s="293">
        <f t="shared" si="18"/>
        <v>0</v>
      </c>
      <c r="V64" s="248">
        <f t="shared" si="18"/>
        <v>0</v>
      </c>
      <c r="W64" s="248">
        <f t="shared" si="18"/>
        <v>0</v>
      </c>
      <c r="X64" s="294">
        <f t="shared" si="18"/>
        <v>0</v>
      </c>
      <c r="Y64" s="295">
        <f t="shared" si="15"/>
        <v>0</v>
      </c>
      <c r="Z64" s="149"/>
      <c r="AA64" s="149"/>
      <c r="AB64" s="149"/>
    </row>
    <row r="65" spans="1:28" ht="15" customHeight="1">
      <c r="A65" s="240">
        <f t="shared" si="17"/>
        <v>25</v>
      </c>
      <c r="B65" s="241"/>
      <c r="C65" s="292"/>
      <c r="D65" s="242"/>
      <c r="E65" s="292"/>
      <c r="F65" s="604"/>
      <c r="G65" s="607">
        <f>IFERROR(INDEX(【様式３】シフト表!$AK$7:$AK$106,MATCH($O65,【様式３】シフト表!$B$7:$B$106,0),1),0)</f>
        <v>0</v>
      </c>
      <c r="H65" s="162"/>
      <c r="I65" s="243"/>
      <c r="J65" s="610" t="str">
        <f t="shared" si="16"/>
        <v>-</v>
      </c>
      <c r="K65" s="1179"/>
      <c r="L65" s="401"/>
      <c r="M65" s="244" t="b">
        <f t="shared" si="9"/>
        <v>0</v>
      </c>
      <c r="N65" s="496" t="b">
        <f>AND($N$38,C65=$N$39,M65,COUNTIF($N$40:$N64,TRUE)=0)</f>
        <v>0</v>
      </c>
      <c r="O65" s="245">
        <f>IF($E65&lt;&gt;$O$38,0,COUNTIF($E$41:E65,$O$38))</f>
        <v>0</v>
      </c>
      <c r="P65" s="245" t="e">
        <f t="shared" si="10"/>
        <v>#VALUE!</v>
      </c>
      <c r="Q65" s="246" t="b">
        <f t="shared" si="11"/>
        <v>1</v>
      </c>
      <c r="R65" s="374"/>
      <c r="S65" s="293">
        <f t="shared" si="12"/>
        <v>0</v>
      </c>
      <c r="T65" s="248">
        <f t="shared" si="13"/>
        <v>0</v>
      </c>
      <c r="U65" s="293">
        <f t="shared" si="18"/>
        <v>0</v>
      </c>
      <c r="V65" s="248">
        <f t="shared" si="18"/>
        <v>0</v>
      </c>
      <c r="W65" s="248">
        <f t="shared" si="18"/>
        <v>0</v>
      </c>
      <c r="X65" s="294">
        <f t="shared" si="18"/>
        <v>0</v>
      </c>
      <c r="Y65" s="295">
        <f t="shared" si="15"/>
        <v>0</v>
      </c>
      <c r="Z65" s="149"/>
      <c r="AA65" s="149"/>
      <c r="AB65" s="149"/>
    </row>
    <row r="66" spans="1:28" ht="15" customHeight="1">
      <c r="A66" s="240">
        <f t="shared" si="17"/>
        <v>26</v>
      </c>
      <c r="B66" s="241"/>
      <c r="C66" s="292"/>
      <c r="D66" s="242"/>
      <c r="E66" s="292"/>
      <c r="F66" s="604"/>
      <c r="G66" s="607">
        <f>IFERROR(INDEX(【様式３】シフト表!$AK$7:$AK$106,MATCH($O66,【様式３】シフト表!$B$7:$B$106,0),1),0)</f>
        <v>0</v>
      </c>
      <c r="H66" s="162"/>
      <c r="I66" s="243"/>
      <c r="J66" s="610" t="str">
        <f t="shared" si="16"/>
        <v>-</v>
      </c>
      <c r="K66" s="1179"/>
      <c r="L66" s="401"/>
      <c r="M66" s="244" t="b">
        <f t="shared" si="9"/>
        <v>0</v>
      </c>
      <c r="N66" s="496" t="b">
        <f>AND($N$38,C66=$N$39,M66,COUNTIF($N$40:$N65,TRUE)=0)</f>
        <v>0</v>
      </c>
      <c r="O66" s="245">
        <f>IF($E66&lt;&gt;$O$38,0,COUNTIF($E$41:E66,$O$38))</f>
        <v>0</v>
      </c>
      <c r="P66" s="245" t="e">
        <f t="shared" si="10"/>
        <v>#VALUE!</v>
      </c>
      <c r="Q66" s="246" t="b">
        <f t="shared" si="11"/>
        <v>1</v>
      </c>
      <c r="R66" s="374"/>
      <c r="S66" s="293">
        <f t="shared" si="12"/>
        <v>0</v>
      </c>
      <c r="T66" s="248">
        <f t="shared" si="13"/>
        <v>0</v>
      </c>
      <c r="U66" s="293">
        <f t="shared" si="18"/>
        <v>0</v>
      </c>
      <c r="V66" s="248">
        <f t="shared" si="18"/>
        <v>0</v>
      </c>
      <c r="W66" s="248">
        <f t="shared" si="18"/>
        <v>0</v>
      </c>
      <c r="X66" s="294">
        <f t="shared" si="18"/>
        <v>0</v>
      </c>
      <c r="Y66" s="295">
        <f t="shared" si="15"/>
        <v>0</v>
      </c>
      <c r="Z66" s="149"/>
      <c r="AA66" s="149"/>
      <c r="AB66" s="149"/>
    </row>
    <row r="67" spans="1:28" ht="15" customHeight="1">
      <c r="A67" s="240">
        <f t="shared" si="17"/>
        <v>27</v>
      </c>
      <c r="B67" s="241"/>
      <c r="C67" s="292"/>
      <c r="D67" s="242"/>
      <c r="E67" s="292"/>
      <c r="F67" s="604"/>
      <c r="G67" s="607">
        <f>IFERROR(INDEX(【様式３】シフト表!$AK$7:$AK$106,MATCH($O67,【様式３】シフト表!$B$7:$B$106,0),1),0)</f>
        <v>0</v>
      </c>
      <c r="H67" s="162"/>
      <c r="I67" s="243"/>
      <c r="J67" s="610" t="str">
        <f t="shared" si="16"/>
        <v>-</v>
      </c>
      <c r="K67" s="1179"/>
      <c r="L67" s="401"/>
      <c r="M67" s="244" t="b">
        <f t="shared" si="9"/>
        <v>0</v>
      </c>
      <c r="N67" s="496" t="b">
        <f>AND($N$38,C67=$N$39,M67,COUNTIF($N$40:$N66,TRUE)=0)</f>
        <v>0</v>
      </c>
      <c r="O67" s="245">
        <f>IF($E67&lt;&gt;$O$38,0,COUNTIF($E$41:E67,$O$38))</f>
        <v>0</v>
      </c>
      <c r="P67" s="245" t="e">
        <f t="shared" si="10"/>
        <v>#VALUE!</v>
      </c>
      <c r="Q67" s="246" t="b">
        <f t="shared" si="11"/>
        <v>1</v>
      </c>
      <c r="R67" s="374"/>
      <c r="S67" s="293">
        <f t="shared" si="12"/>
        <v>0</v>
      </c>
      <c r="T67" s="248">
        <f t="shared" si="13"/>
        <v>0</v>
      </c>
      <c r="U67" s="293">
        <f t="shared" si="18"/>
        <v>0</v>
      </c>
      <c r="V67" s="248">
        <f t="shared" si="18"/>
        <v>0</v>
      </c>
      <c r="W67" s="248">
        <f t="shared" si="18"/>
        <v>0</v>
      </c>
      <c r="X67" s="294">
        <f t="shared" si="18"/>
        <v>0</v>
      </c>
      <c r="Y67" s="295">
        <f t="shared" si="15"/>
        <v>0</v>
      </c>
      <c r="Z67" s="149"/>
      <c r="AA67" s="149"/>
      <c r="AB67" s="149"/>
    </row>
    <row r="68" spans="1:28" ht="15" customHeight="1">
      <c r="A68" s="240">
        <f t="shared" si="17"/>
        <v>28</v>
      </c>
      <c r="B68" s="241"/>
      <c r="C68" s="292"/>
      <c r="D68" s="242"/>
      <c r="E68" s="292"/>
      <c r="F68" s="604"/>
      <c r="G68" s="607">
        <f>IFERROR(INDEX(【様式３】シフト表!$AK$7:$AK$106,MATCH($O68,【様式３】シフト表!$B$7:$B$106,0),1),0)</f>
        <v>0</v>
      </c>
      <c r="H68" s="162"/>
      <c r="I68" s="243"/>
      <c r="J68" s="610" t="str">
        <f t="shared" si="16"/>
        <v>-</v>
      </c>
      <c r="K68" s="1179"/>
      <c r="L68" s="401"/>
      <c r="M68" s="244" t="b">
        <f t="shared" si="9"/>
        <v>0</v>
      </c>
      <c r="N68" s="496" t="b">
        <f>AND($N$38,C68=$N$39,M68,COUNTIF($N$40:$N67,TRUE)=0)</f>
        <v>0</v>
      </c>
      <c r="O68" s="245">
        <f>IF($E68&lt;&gt;$O$38,0,COUNTIF($E$41:E68,$O$38))</f>
        <v>0</v>
      </c>
      <c r="P68" s="245" t="e">
        <f t="shared" si="10"/>
        <v>#VALUE!</v>
      </c>
      <c r="Q68" s="246" t="b">
        <f t="shared" si="11"/>
        <v>1</v>
      </c>
      <c r="R68" s="374"/>
      <c r="S68" s="293">
        <f t="shared" si="12"/>
        <v>0</v>
      </c>
      <c r="T68" s="248">
        <f t="shared" si="13"/>
        <v>0</v>
      </c>
      <c r="U68" s="293">
        <f t="shared" si="18"/>
        <v>0</v>
      </c>
      <c r="V68" s="248">
        <f t="shared" si="18"/>
        <v>0</v>
      </c>
      <c r="W68" s="248">
        <f t="shared" si="18"/>
        <v>0</v>
      </c>
      <c r="X68" s="294">
        <f t="shared" si="18"/>
        <v>0</v>
      </c>
      <c r="Y68" s="295">
        <f t="shared" si="15"/>
        <v>0</v>
      </c>
      <c r="Z68" s="149"/>
      <c r="AA68" s="149"/>
      <c r="AB68" s="149"/>
    </row>
    <row r="69" spans="1:28" ht="15" customHeight="1">
      <c r="A69" s="240">
        <f t="shared" si="17"/>
        <v>29</v>
      </c>
      <c r="B69" s="241"/>
      <c r="C69" s="292"/>
      <c r="D69" s="242"/>
      <c r="E69" s="292"/>
      <c r="F69" s="604"/>
      <c r="G69" s="607">
        <f>IFERROR(INDEX(【様式３】シフト表!$AK$7:$AK$106,MATCH($O69,【様式３】シフト表!$B$7:$B$106,0),1),0)</f>
        <v>0</v>
      </c>
      <c r="H69" s="162"/>
      <c r="I69" s="243"/>
      <c r="J69" s="610" t="str">
        <f t="shared" si="16"/>
        <v>-</v>
      </c>
      <c r="K69" s="1179"/>
      <c r="L69" s="401"/>
      <c r="M69" s="244" t="b">
        <f t="shared" si="9"/>
        <v>0</v>
      </c>
      <c r="N69" s="496" t="b">
        <f>AND($N$38,C69=$N$39,M69,COUNTIF($N$40:$N68,TRUE)=0)</f>
        <v>0</v>
      </c>
      <c r="O69" s="245">
        <f>IF($E69&lt;&gt;$O$38,0,COUNTIF($E$41:E69,$O$38))</f>
        <v>0</v>
      </c>
      <c r="P69" s="245" t="e">
        <f t="shared" si="10"/>
        <v>#VALUE!</v>
      </c>
      <c r="Q69" s="246" t="b">
        <f t="shared" si="11"/>
        <v>1</v>
      </c>
      <c r="R69" s="374"/>
      <c r="S69" s="293">
        <f t="shared" si="12"/>
        <v>0</v>
      </c>
      <c r="T69" s="248">
        <f t="shared" si="13"/>
        <v>0</v>
      </c>
      <c r="U69" s="293">
        <f t="shared" si="18"/>
        <v>0</v>
      </c>
      <c r="V69" s="248">
        <f t="shared" si="18"/>
        <v>0</v>
      </c>
      <c r="W69" s="248">
        <f t="shared" si="18"/>
        <v>0</v>
      </c>
      <c r="X69" s="294">
        <f t="shared" si="18"/>
        <v>0</v>
      </c>
      <c r="Y69" s="295">
        <f t="shared" si="15"/>
        <v>0</v>
      </c>
      <c r="Z69" s="149"/>
      <c r="AA69" s="149"/>
      <c r="AB69" s="149"/>
    </row>
    <row r="70" spans="1:28" ht="15" customHeight="1">
      <c r="A70" s="240">
        <f t="shared" si="17"/>
        <v>30</v>
      </c>
      <c r="B70" s="241"/>
      <c r="C70" s="292"/>
      <c r="D70" s="242"/>
      <c r="E70" s="292"/>
      <c r="F70" s="604"/>
      <c r="G70" s="607">
        <f>IFERROR(INDEX(【様式３】シフト表!$AK$7:$AK$106,MATCH($O70,【様式３】シフト表!$B$7:$B$106,0),1),0)</f>
        <v>0</v>
      </c>
      <c r="H70" s="162"/>
      <c r="I70" s="243"/>
      <c r="J70" s="610" t="str">
        <f t="shared" si="16"/>
        <v>-</v>
      </c>
      <c r="K70" s="1179"/>
      <c r="L70" s="401"/>
      <c r="M70" s="244" t="b">
        <f t="shared" si="9"/>
        <v>0</v>
      </c>
      <c r="N70" s="496" t="b">
        <f>AND($N$38,C70=$N$39,M70,COUNTIF($N$40:$N69,TRUE)=0)</f>
        <v>0</v>
      </c>
      <c r="O70" s="245">
        <f>IF($E70&lt;&gt;$O$38,0,COUNTIF($E$41:E70,$O$38))</f>
        <v>0</v>
      </c>
      <c r="P70" s="245" t="e">
        <f t="shared" si="10"/>
        <v>#VALUE!</v>
      </c>
      <c r="Q70" s="246" t="b">
        <f t="shared" si="11"/>
        <v>1</v>
      </c>
      <c r="R70" s="374"/>
      <c r="S70" s="293">
        <f t="shared" si="12"/>
        <v>0</v>
      </c>
      <c r="T70" s="248">
        <f t="shared" si="13"/>
        <v>0</v>
      </c>
      <c r="U70" s="293">
        <f t="shared" si="18"/>
        <v>0</v>
      </c>
      <c r="V70" s="248">
        <f t="shared" si="18"/>
        <v>0</v>
      </c>
      <c r="W70" s="248">
        <f t="shared" si="18"/>
        <v>0</v>
      </c>
      <c r="X70" s="294">
        <f t="shared" si="18"/>
        <v>0</v>
      </c>
      <c r="Y70" s="295">
        <f t="shared" si="15"/>
        <v>0</v>
      </c>
      <c r="Z70" s="149"/>
      <c r="AA70" s="149"/>
      <c r="AB70" s="149"/>
    </row>
    <row r="71" spans="1:28" ht="15" customHeight="1">
      <c r="A71" s="240">
        <f t="shared" si="17"/>
        <v>31</v>
      </c>
      <c r="B71" s="241"/>
      <c r="C71" s="292"/>
      <c r="D71" s="242"/>
      <c r="E71" s="292"/>
      <c r="F71" s="604"/>
      <c r="G71" s="607">
        <f>IFERROR(INDEX(【様式３】シフト表!$AK$7:$AK$106,MATCH($O71,【様式３】シフト表!$B$7:$B$106,0),1),0)</f>
        <v>0</v>
      </c>
      <c r="H71" s="162"/>
      <c r="I71" s="243"/>
      <c r="J71" s="610" t="str">
        <f t="shared" si="16"/>
        <v>-</v>
      </c>
      <c r="K71" s="1179"/>
      <c r="L71" s="401"/>
      <c r="M71" s="244" t="b">
        <f t="shared" si="9"/>
        <v>0</v>
      </c>
      <c r="N71" s="496" t="b">
        <f>AND($N$38,C71=$N$39,M71,COUNTIF($N$40:$N70,TRUE)=0)</f>
        <v>0</v>
      </c>
      <c r="O71" s="245">
        <f>IF($E71&lt;&gt;$O$38,0,COUNTIF($E$41:E71,$O$38))</f>
        <v>0</v>
      </c>
      <c r="P71" s="245" t="e">
        <f t="shared" si="10"/>
        <v>#VALUE!</v>
      </c>
      <c r="Q71" s="246" t="b">
        <f t="shared" si="11"/>
        <v>1</v>
      </c>
      <c r="R71" s="374"/>
      <c r="S71" s="293">
        <f t="shared" si="12"/>
        <v>0</v>
      </c>
      <c r="T71" s="248">
        <f t="shared" si="13"/>
        <v>0</v>
      </c>
      <c r="U71" s="293">
        <f t="shared" si="18"/>
        <v>0</v>
      </c>
      <c r="V71" s="248">
        <f t="shared" si="18"/>
        <v>0</v>
      </c>
      <c r="W71" s="248">
        <f t="shared" si="18"/>
        <v>0</v>
      </c>
      <c r="X71" s="294">
        <f t="shared" si="18"/>
        <v>0</v>
      </c>
      <c r="Y71" s="295">
        <f t="shared" si="15"/>
        <v>0</v>
      </c>
      <c r="Z71" s="149"/>
      <c r="AA71" s="149"/>
      <c r="AB71" s="149"/>
    </row>
    <row r="72" spans="1:28" ht="15" customHeight="1">
      <c r="A72" s="240">
        <f t="shared" si="17"/>
        <v>32</v>
      </c>
      <c r="B72" s="241"/>
      <c r="C72" s="292"/>
      <c r="D72" s="242"/>
      <c r="E72" s="292"/>
      <c r="F72" s="604"/>
      <c r="G72" s="607">
        <f>IFERROR(INDEX(【様式３】シフト表!$AK$7:$AK$106,MATCH($O72,【様式３】シフト表!$B$7:$B$106,0),1),0)</f>
        <v>0</v>
      </c>
      <c r="H72" s="162"/>
      <c r="I72" s="243"/>
      <c r="J72" s="610" t="str">
        <f t="shared" si="16"/>
        <v>-</v>
      </c>
      <c r="K72" s="1179"/>
      <c r="L72" s="401"/>
      <c r="M72" s="244" t="b">
        <f t="shared" si="9"/>
        <v>0</v>
      </c>
      <c r="N72" s="496" t="b">
        <f>AND($N$38,C72=$N$39,M72,COUNTIF($N$40:$N71,TRUE)=0)</f>
        <v>0</v>
      </c>
      <c r="O72" s="245">
        <f>IF($E72&lt;&gt;$O$38,0,COUNTIF($E$41:E72,$O$38))</f>
        <v>0</v>
      </c>
      <c r="P72" s="245" t="e">
        <f t="shared" si="10"/>
        <v>#VALUE!</v>
      </c>
      <c r="Q72" s="246" t="b">
        <f t="shared" si="11"/>
        <v>1</v>
      </c>
      <c r="R72" s="374"/>
      <c r="S72" s="293">
        <f t="shared" si="12"/>
        <v>0</v>
      </c>
      <c r="T72" s="248">
        <f t="shared" si="13"/>
        <v>0</v>
      </c>
      <c r="U72" s="293">
        <f t="shared" si="18"/>
        <v>0</v>
      </c>
      <c r="V72" s="248">
        <f t="shared" si="18"/>
        <v>0</v>
      </c>
      <c r="W72" s="248">
        <f t="shared" si="18"/>
        <v>0</v>
      </c>
      <c r="X72" s="294">
        <f t="shared" si="18"/>
        <v>0</v>
      </c>
      <c r="Y72" s="295">
        <f t="shared" si="15"/>
        <v>0</v>
      </c>
      <c r="Z72" s="149"/>
      <c r="AA72" s="149"/>
      <c r="AB72" s="149"/>
    </row>
    <row r="73" spans="1:28" ht="15" customHeight="1">
      <c r="A73" s="240">
        <f t="shared" si="17"/>
        <v>33</v>
      </c>
      <c r="B73" s="241"/>
      <c r="C73" s="292"/>
      <c r="D73" s="242"/>
      <c r="E73" s="292"/>
      <c r="F73" s="604"/>
      <c r="G73" s="607">
        <f>IFERROR(INDEX(【様式３】シフト表!$AK$7:$AK$106,MATCH($O73,【様式３】シフト表!$B$7:$B$106,0),1),0)</f>
        <v>0</v>
      </c>
      <c r="H73" s="162"/>
      <c r="I73" s="243"/>
      <c r="J73" s="610" t="str">
        <f t="shared" si="16"/>
        <v>-</v>
      </c>
      <c r="K73" s="1179"/>
      <c r="L73" s="401"/>
      <c r="M73" s="244" t="b">
        <f t="shared" ref="M73:M104" si="19">$D73=$M$38</f>
        <v>0</v>
      </c>
      <c r="N73" s="496" t="b">
        <f>AND($N$38,C73=$N$39,M73,COUNTIF($N$40:$N72,TRUE)=0)</f>
        <v>0</v>
      </c>
      <c r="O73" s="245">
        <f>IF($E73&lt;&gt;$O$38,0,COUNTIF($E$41:E73,$O$38))</f>
        <v>0</v>
      </c>
      <c r="P73" s="245" t="e">
        <f t="shared" ref="P73:P104" si="20">OR($H73&gt;$H$39,AND($E73=$AC$26,$F73&lt;&gt;$AD$26,$F73&lt;&gt;$AD$27,$F73&lt;&gt;$AD$28,$F73&lt;&gt;$AD$29),AND($E73=$AC$27,$F73&lt;&gt;$AE$26,$F73&lt;&gt;$AE$27,$F73&lt;&gt;$AE$28,$F73&lt;&gt;$AE$29))</f>
        <v>#VALUE!</v>
      </c>
      <c r="Q73" s="246" t="b">
        <f t="shared" ref="Q73:Q104" si="21">OR($B73=0,$C73=0,$E73=0,AND($E73&lt;&gt;0,$F73=0),AND($E73=Q$38,$G73=0),$H73=0)</f>
        <v>1</v>
      </c>
      <c r="R73" s="374"/>
      <c r="S73" s="293">
        <f t="shared" ref="S73:S104" si="22">IF($E73=S$37,1,0)</f>
        <v>0</v>
      </c>
      <c r="T73" s="248">
        <f t="shared" ref="T73:T104" si="23">IF($E73=T$37,$G73,0)</f>
        <v>0</v>
      </c>
      <c r="U73" s="293">
        <f t="shared" si="18"/>
        <v>0</v>
      </c>
      <c r="V73" s="248">
        <f t="shared" si="18"/>
        <v>0</v>
      </c>
      <c r="W73" s="248">
        <f t="shared" si="18"/>
        <v>0</v>
      </c>
      <c r="X73" s="294">
        <f t="shared" si="18"/>
        <v>0</v>
      </c>
      <c r="Y73" s="295">
        <f t="shared" ref="Y73:Y104" si="24">IF($E73=Y$37,$J73,0)</f>
        <v>0</v>
      </c>
      <c r="Z73" s="149"/>
      <c r="AA73" s="149"/>
      <c r="AB73" s="149"/>
    </row>
    <row r="74" spans="1:28" ht="15" customHeight="1">
      <c r="A74" s="240">
        <f t="shared" si="17"/>
        <v>34</v>
      </c>
      <c r="B74" s="241"/>
      <c r="C74" s="292"/>
      <c r="D74" s="242"/>
      <c r="E74" s="292"/>
      <c r="F74" s="604"/>
      <c r="G74" s="607">
        <f>IFERROR(INDEX(【様式３】シフト表!$AK$7:$AK$106,MATCH($O74,【様式３】シフト表!$B$7:$B$106,0),1),0)</f>
        <v>0</v>
      </c>
      <c r="H74" s="162"/>
      <c r="I74" s="243"/>
      <c r="J74" s="610" t="str">
        <f t="shared" si="16"/>
        <v>-</v>
      </c>
      <c r="K74" s="1179"/>
      <c r="L74" s="401"/>
      <c r="M74" s="244" t="b">
        <f t="shared" si="19"/>
        <v>0</v>
      </c>
      <c r="N74" s="496" t="b">
        <f>AND($N$38,C74=$N$39,M74,COUNTIF($N$40:$N73,TRUE)=0)</f>
        <v>0</v>
      </c>
      <c r="O74" s="245">
        <f>IF($E74&lt;&gt;$O$38,0,COUNTIF($E$41:E74,$O$38))</f>
        <v>0</v>
      </c>
      <c r="P74" s="245" t="e">
        <f t="shared" si="20"/>
        <v>#VALUE!</v>
      </c>
      <c r="Q74" s="246" t="b">
        <f t="shared" si="21"/>
        <v>1</v>
      </c>
      <c r="R74" s="374"/>
      <c r="S74" s="293">
        <f t="shared" si="22"/>
        <v>0</v>
      </c>
      <c r="T74" s="248">
        <f t="shared" si="23"/>
        <v>0</v>
      </c>
      <c r="U74" s="293">
        <f t="shared" si="18"/>
        <v>0</v>
      </c>
      <c r="V74" s="248">
        <f t="shared" si="18"/>
        <v>0</v>
      </c>
      <c r="W74" s="248">
        <f t="shared" si="18"/>
        <v>0</v>
      </c>
      <c r="X74" s="294">
        <f t="shared" si="18"/>
        <v>0</v>
      </c>
      <c r="Y74" s="295">
        <f t="shared" si="24"/>
        <v>0</v>
      </c>
      <c r="Z74" s="149"/>
      <c r="AA74" s="149"/>
      <c r="AB74" s="149"/>
    </row>
    <row r="75" spans="1:28" ht="15" customHeight="1">
      <c r="A75" s="240">
        <f t="shared" si="17"/>
        <v>35</v>
      </c>
      <c r="B75" s="241"/>
      <c r="C75" s="292"/>
      <c r="D75" s="242"/>
      <c r="E75" s="292"/>
      <c r="F75" s="604"/>
      <c r="G75" s="607">
        <f>IFERROR(INDEX(【様式３】シフト表!$AK$7:$AK$106,MATCH($O75,【様式３】シフト表!$B$7:$B$106,0),1),0)</f>
        <v>0</v>
      </c>
      <c r="H75" s="162"/>
      <c r="I75" s="243"/>
      <c r="J75" s="610" t="str">
        <f t="shared" si="16"/>
        <v>-</v>
      </c>
      <c r="K75" s="1179"/>
      <c r="L75" s="401"/>
      <c r="M75" s="244" t="b">
        <f t="shared" si="19"/>
        <v>0</v>
      </c>
      <c r="N75" s="496" t="b">
        <f>AND($N$38,C75=$N$39,M75,COUNTIF($N$40:$N74,TRUE)=0)</f>
        <v>0</v>
      </c>
      <c r="O75" s="245">
        <f>IF($E75&lt;&gt;$O$38,0,COUNTIF($E$41:E75,$O$38))</f>
        <v>0</v>
      </c>
      <c r="P75" s="245" t="e">
        <f t="shared" si="20"/>
        <v>#VALUE!</v>
      </c>
      <c r="Q75" s="246" t="b">
        <f t="shared" si="21"/>
        <v>1</v>
      </c>
      <c r="R75" s="374"/>
      <c r="S75" s="293">
        <f t="shared" si="22"/>
        <v>0</v>
      </c>
      <c r="T75" s="248">
        <f t="shared" si="23"/>
        <v>0</v>
      </c>
      <c r="U75" s="293">
        <f t="shared" si="18"/>
        <v>0</v>
      </c>
      <c r="V75" s="248">
        <f t="shared" si="18"/>
        <v>0</v>
      </c>
      <c r="W75" s="248">
        <f t="shared" si="18"/>
        <v>0</v>
      </c>
      <c r="X75" s="294">
        <f t="shared" si="18"/>
        <v>0</v>
      </c>
      <c r="Y75" s="295">
        <f t="shared" si="24"/>
        <v>0</v>
      </c>
      <c r="Z75" s="149"/>
      <c r="AA75" s="149"/>
      <c r="AB75" s="149"/>
    </row>
    <row r="76" spans="1:28" ht="15" customHeight="1">
      <c r="A76" s="240">
        <f t="shared" si="17"/>
        <v>36</v>
      </c>
      <c r="B76" s="241"/>
      <c r="C76" s="292"/>
      <c r="D76" s="242"/>
      <c r="E76" s="292"/>
      <c r="F76" s="604"/>
      <c r="G76" s="607">
        <f>IFERROR(INDEX(【様式３】シフト表!$AK$7:$AK$106,MATCH($O76,【様式３】シフト表!$B$7:$B$106,0),1),0)</f>
        <v>0</v>
      </c>
      <c r="H76" s="162"/>
      <c r="I76" s="243"/>
      <c r="J76" s="610" t="str">
        <f t="shared" si="16"/>
        <v>-</v>
      </c>
      <c r="K76" s="1179"/>
      <c r="L76" s="401"/>
      <c r="M76" s="244" t="b">
        <f t="shared" si="19"/>
        <v>0</v>
      </c>
      <c r="N76" s="496" t="b">
        <f>AND($N$38,C76=$N$39,M76,COUNTIF($N$40:$N75,TRUE)=0)</f>
        <v>0</v>
      </c>
      <c r="O76" s="245">
        <f>IF($E76&lt;&gt;$O$38,0,COUNTIF($E$41:E76,$O$38))</f>
        <v>0</v>
      </c>
      <c r="P76" s="245" t="e">
        <f t="shared" si="20"/>
        <v>#VALUE!</v>
      </c>
      <c r="Q76" s="246" t="b">
        <f t="shared" si="21"/>
        <v>1</v>
      </c>
      <c r="R76" s="374"/>
      <c r="S76" s="293">
        <f t="shared" si="22"/>
        <v>0</v>
      </c>
      <c r="T76" s="248">
        <f t="shared" si="23"/>
        <v>0</v>
      </c>
      <c r="U76" s="293">
        <f t="shared" si="18"/>
        <v>0</v>
      </c>
      <c r="V76" s="248">
        <f t="shared" si="18"/>
        <v>0</v>
      </c>
      <c r="W76" s="248">
        <f t="shared" si="18"/>
        <v>0</v>
      </c>
      <c r="X76" s="294">
        <f t="shared" si="18"/>
        <v>0</v>
      </c>
      <c r="Y76" s="295">
        <f t="shared" si="24"/>
        <v>0</v>
      </c>
      <c r="Z76" s="149"/>
      <c r="AA76" s="149"/>
      <c r="AB76" s="149"/>
    </row>
    <row r="77" spans="1:28" ht="15" customHeight="1">
      <c r="A77" s="240">
        <f t="shared" si="17"/>
        <v>37</v>
      </c>
      <c r="B77" s="241"/>
      <c r="C77" s="292"/>
      <c r="D77" s="242"/>
      <c r="E77" s="292"/>
      <c r="F77" s="604"/>
      <c r="G77" s="607">
        <f>IFERROR(INDEX(【様式３】シフト表!$AK$7:$AK$106,MATCH($O77,【様式３】シフト表!$B$7:$B$106,0),1),0)</f>
        <v>0</v>
      </c>
      <c r="H77" s="162"/>
      <c r="I77" s="243"/>
      <c r="J77" s="610" t="str">
        <f t="shared" si="16"/>
        <v>-</v>
      </c>
      <c r="K77" s="1179"/>
      <c r="L77" s="401"/>
      <c r="M77" s="244" t="b">
        <f t="shared" si="19"/>
        <v>0</v>
      </c>
      <c r="N77" s="496" t="b">
        <f>AND($N$38,C77=$N$39,M77,COUNTIF($N$40:$N76,TRUE)=0)</f>
        <v>0</v>
      </c>
      <c r="O77" s="245">
        <f>IF($E77&lt;&gt;$O$38,0,COUNTIF($E$41:E77,$O$38))</f>
        <v>0</v>
      </c>
      <c r="P77" s="245" t="e">
        <f t="shared" si="20"/>
        <v>#VALUE!</v>
      </c>
      <c r="Q77" s="246" t="b">
        <f t="shared" si="21"/>
        <v>1</v>
      </c>
      <c r="R77" s="374"/>
      <c r="S77" s="293">
        <f t="shared" si="22"/>
        <v>0</v>
      </c>
      <c r="T77" s="248">
        <f t="shared" si="23"/>
        <v>0</v>
      </c>
      <c r="U77" s="293">
        <f t="shared" si="18"/>
        <v>0</v>
      </c>
      <c r="V77" s="248">
        <f t="shared" si="18"/>
        <v>0</v>
      </c>
      <c r="W77" s="248">
        <f t="shared" si="18"/>
        <v>0</v>
      </c>
      <c r="X77" s="294">
        <f t="shared" si="18"/>
        <v>0</v>
      </c>
      <c r="Y77" s="295">
        <f t="shared" si="24"/>
        <v>0</v>
      </c>
      <c r="Z77" s="149"/>
      <c r="AA77" s="149"/>
      <c r="AB77" s="149"/>
    </row>
    <row r="78" spans="1:28" ht="15" customHeight="1">
      <c r="A78" s="240">
        <f t="shared" si="17"/>
        <v>38</v>
      </c>
      <c r="B78" s="241"/>
      <c r="C78" s="292"/>
      <c r="D78" s="242"/>
      <c r="E78" s="292"/>
      <c r="F78" s="604"/>
      <c r="G78" s="607">
        <f>IFERROR(INDEX(【様式３】シフト表!$AK$7:$AK$106,MATCH($O78,【様式３】シフト表!$B$7:$B$106,0),1),0)</f>
        <v>0</v>
      </c>
      <c r="H78" s="162"/>
      <c r="I78" s="243"/>
      <c r="J78" s="610" t="str">
        <f t="shared" si="16"/>
        <v>-</v>
      </c>
      <c r="K78" s="1179"/>
      <c r="L78" s="401"/>
      <c r="M78" s="244" t="b">
        <f t="shared" si="19"/>
        <v>0</v>
      </c>
      <c r="N78" s="496" t="b">
        <f>AND($N$38,C78=$N$39,M78,COUNTIF($N$40:$N77,TRUE)=0)</f>
        <v>0</v>
      </c>
      <c r="O78" s="245">
        <f>IF($E78&lt;&gt;$O$38,0,COUNTIF($E$41:E78,$O$38))</f>
        <v>0</v>
      </c>
      <c r="P78" s="245" t="e">
        <f t="shared" si="20"/>
        <v>#VALUE!</v>
      </c>
      <c r="Q78" s="246" t="b">
        <f t="shared" si="21"/>
        <v>1</v>
      </c>
      <c r="R78" s="374"/>
      <c r="S78" s="293">
        <f t="shared" si="22"/>
        <v>0</v>
      </c>
      <c r="T78" s="248">
        <f t="shared" si="23"/>
        <v>0</v>
      </c>
      <c r="U78" s="293">
        <f t="shared" si="18"/>
        <v>0</v>
      </c>
      <c r="V78" s="248">
        <f t="shared" si="18"/>
        <v>0</v>
      </c>
      <c r="W78" s="248">
        <f t="shared" si="18"/>
        <v>0</v>
      </c>
      <c r="X78" s="294">
        <f t="shared" si="18"/>
        <v>0</v>
      </c>
      <c r="Y78" s="295">
        <f t="shared" si="24"/>
        <v>0</v>
      </c>
      <c r="Z78" s="149"/>
      <c r="AA78" s="149"/>
      <c r="AB78" s="149"/>
    </row>
    <row r="79" spans="1:28" ht="15" customHeight="1">
      <c r="A79" s="240">
        <f t="shared" si="17"/>
        <v>39</v>
      </c>
      <c r="B79" s="241"/>
      <c r="C79" s="292"/>
      <c r="D79" s="242"/>
      <c r="E79" s="292"/>
      <c r="F79" s="604"/>
      <c r="G79" s="607">
        <f>IFERROR(INDEX(【様式３】シフト表!$AK$7:$AK$106,MATCH($O79,【様式３】シフト表!$B$7:$B$106,0),1),0)</f>
        <v>0</v>
      </c>
      <c r="H79" s="162"/>
      <c r="I79" s="243"/>
      <c r="J79" s="610" t="str">
        <f t="shared" si="16"/>
        <v>-</v>
      </c>
      <c r="K79" s="1179"/>
      <c r="L79" s="401"/>
      <c r="M79" s="244" t="b">
        <f t="shared" si="19"/>
        <v>0</v>
      </c>
      <c r="N79" s="496" t="b">
        <f>AND($N$38,C79=$N$39,M79,COUNTIF($N$40:$N78,TRUE)=0)</f>
        <v>0</v>
      </c>
      <c r="O79" s="245">
        <f>IF($E79&lt;&gt;$O$38,0,COUNTIF($E$41:E79,$O$38))</f>
        <v>0</v>
      </c>
      <c r="P79" s="245" t="e">
        <f t="shared" si="20"/>
        <v>#VALUE!</v>
      </c>
      <c r="Q79" s="246" t="b">
        <f t="shared" si="21"/>
        <v>1</v>
      </c>
      <c r="R79" s="374"/>
      <c r="S79" s="293">
        <f t="shared" si="22"/>
        <v>0</v>
      </c>
      <c r="T79" s="248">
        <f t="shared" si="23"/>
        <v>0</v>
      </c>
      <c r="U79" s="293">
        <f t="shared" si="18"/>
        <v>0</v>
      </c>
      <c r="V79" s="248">
        <f t="shared" si="18"/>
        <v>0</v>
      </c>
      <c r="W79" s="248">
        <f t="shared" si="18"/>
        <v>0</v>
      </c>
      <c r="X79" s="294">
        <f t="shared" si="18"/>
        <v>0</v>
      </c>
      <c r="Y79" s="295">
        <f t="shared" si="24"/>
        <v>0</v>
      </c>
      <c r="Z79" s="149"/>
      <c r="AA79" s="149"/>
      <c r="AB79" s="149"/>
    </row>
    <row r="80" spans="1:28" ht="15" customHeight="1">
      <c r="A80" s="240">
        <f t="shared" si="17"/>
        <v>40</v>
      </c>
      <c r="B80" s="241"/>
      <c r="C80" s="292"/>
      <c r="D80" s="242"/>
      <c r="E80" s="292"/>
      <c r="F80" s="604"/>
      <c r="G80" s="607">
        <f>IFERROR(INDEX(【様式３】シフト表!$AK$7:$AK$106,MATCH($O80,【様式３】シフト表!$B$7:$B$106,0),1),0)</f>
        <v>0</v>
      </c>
      <c r="H80" s="162"/>
      <c r="I80" s="243"/>
      <c r="J80" s="610" t="str">
        <f t="shared" si="16"/>
        <v>-</v>
      </c>
      <c r="K80" s="1179"/>
      <c r="L80" s="401"/>
      <c r="M80" s="244" t="b">
        <f t="shared" si="19"/>
        <v>0</v>
      </c>
      <c r="N80" s="496" t="b">
        <f>AND($N$38,C80=$N$39,M80,COUNTIF($N$40:$N79,TRUE)=0)</f>
        <v>0</v>
      </c>
      <c r="O80" s="245">
        <f>IF($E80&lt;&gt;$O$38,0,COUNTIF($E$41:E80,$O$38))</f>
        <v>0</v>
      </c>
      <c r="P80" s="245" t="e">
        <f t="shared" si="20"/>
        <v>#VALUE!</v>
      </c>
      <c r="Q80" s="246" t="b">
        <f t="shared" si="21"/>
        <v>1</v>
      </c>
      <c r="R80" s="374"/>
      <c r="S80" s="293">
        <f t="shared" si="22"/>
        <v>0</v>
      </c>
      <c r="T80" s="248">
        <f t="shared" si="23"/>
        <v>0</v>
      </c>
      <c r="U80" s="293">
        <f t="shared" si="18"/>
        <v>0</v>
      </c>
      <c r="V80" s="248">
        <f t="shared" si="18"/>
        <v>0</v>
      </c>
      <c r="W80" s="248">
        <f t="shared" si="18"/>
        <v>0</v>
      </c>
      <c r="X80" s="294">
        <f t="shared" si="18"/>
        <v>0</v>
      </c>
      <c r="Y80" s="295">
        <f t="shared" si="24"/>
        <v>0</v>
      </c>
      <c r="Z80" s="149"/>
      <c r="AA80" s="149"/>
      <c r="AB80" s="149"/>
    </row>
    <row r="81" spans="1:28" ht="15" customHeight="1">
      <c r="A81" s="240">
        <f t="shared" si="17"/>
        <v>41</v>
      </c>
      <c r="B81" s="241"/>
      <c r="C81" s="292"/>
      <c r="D81" s="242"/>
      <c r="E81" s="292"/>
      <c r="F81" s="604"/>
      <c r="G81" s="607">
        <f>IFERROR(INDEX(【様式３】シフト表!$AK$7:$AK$106,MATCH($O81,【様式３】シフト表!$B$7:$B$106,0),1),0)</f>
        <v>0</v>
      </c>
      <c r="H81" s="162"/>
      <c r="I81" s="243"/>
      <c r="J81" s="610" t="str">
        <f t="shared" si="16"/>
        <v>-</v>
      </c>
      <c r="K81" s="1179"/>
      <c r="L81" s="401"/>
      <c r="M81" s="244" t="b">
        <f t="shared" si="19"/>
        <v>0</v>
      </c>
      <c r="N81" s="496" t="b">
        <f>AND($N$38,C81=$N$39,M81,COUNTIF($N$40:$N80,TRUE)=0)</f>
        <v>0</v>
      </c>
      <c r="O81" s="245">
        <f>IF($E81&lt;&gt;$O$38,0,COUNTIF($E$41:E81,$O$38))</f>
        <v>0</v>
      </c>
      <c r="P81" s="245" t="e">
        <f t="shared" si="20"/>
        <v>#VALUE!</v>
      </c>
      <c r="Q81" s="246" t="b">
        <f t="shared" si="21"/>
        <v>1</v>
      </c>
      <c r="R81" s="374"/>
      <c r="S81" s="293">
        <f t="shared" si="22"/>
        <v>0</v>
      </c>
      <c r="T81" s="248">
        <f t="shared" si="23"/>
        <v>0</v>
      </c>
      <c r="U81" s="293">
        <f t="shared" ref="U81:X100" si="25">IF(AND($E81=U$37,$F81=U$38),$J81,0)</f>
        <v>0</v>
      </c>
      <c r="V81" s="248">
        <f t="shared" si="25"/>
        <v>0</v>
      </c>
      <c r="W81" s="248">
        <f t="shared" si="25"/>
        <v>0</v>
      </c>
      <c r="X81" s="294">
        <f t="shared" si="25"/>
        <v>0</v>
      </c>
      <c r="Y81" s="295">
        <f t="shared" si="24"/>
        <v>0</v>
      </c>
      <c r="Z81" s="149"/>
      <c r="AA81" s="149"/>
      <c r="AB81" s="149"/>
    </row>
    <row r="82" spans="1:28" ht="15" customHeight="1">
      <c r="A82" s="240">
        <f t="shared" si="17"/>
        <v>42</v>
      </c>
      <c r="B82" s="241"/>
      <c r="C82" s="292"/>
      <c r="D82" s="242"/>
      <c r="E82" s="292"/>
      <c r="F82" s="604"/>
      <c r="G82" s="607">
        <f>IFERROR(INDEX(【様式３】シフト表!$AK$7:$AK$106,MATCH($O82,【様式３】シフト表!$B$7:$B$106,0),1),0)</f>
        <v>0</v>
      </c>
      <c r="H82" s="162"/>
      <c r="I82" s="243"/>
      <c r="J82" s="610" t="str">
        <f t="shared" si="16"/>
        <v>-</v>
      </c>
      <c r="K82" s="1179"/>
      <c r="L82" s="401"/>
      <c r="M82" s="244" t="b">
        <f t="shared" si="19"/>
        <v>0</v>
      </c>
      <c r="N82" s="496" t="b">
        <f>AND($N$38,C82=$N$39,M82,COUNTIF($N$40:$N81,TRUE)=0)</f>
        <v>0</v>
      </c>
      <c r="O82" s="245">
        <f>IF($E82&lt;&gt;$O$38,0,COUNTIF($E$41:E82,$O$38))</f>
        <v>0</v>
      </c>
      <c r="P82" s="245" t="e">
        <f t="shared" si="20"/>
        <v>#VALUE!</v>
      </c>
      <c r="Q82" s="246" t="b">
        <f t="shared" si="21"/>
        <v>1</v>
      </c>
      <c r="R82" s="374"/>
      <c r="S82" s="293">
        <f t="shared" si="22"/>
        <v>0</v>
      </c>
      <c r="T82" s="248">
        <f t="shared" si="23"/>
        <v>0</v>
      </c>
      <c r="U82" s="293">
        <f t="shared" si="25"/>
        <v>0</v>
      </c>
      <c r="V82" s="248">
        <f t="shared" si="25"/>
        <v>0</v>
      </c>
      <c r="W82" s="248">
        <f t="shared" si="25"/>
        <v>0</v>
      </c>
      <c r="X82" s="294">
        <f t="shared" si="25"/>
        <v>0</v>
      </c>
      <c r="Y82" s="295">
        <f t="shared" si="24"/>
        <v>0</v>
      </c>
      <c r="Z82" s="149"/>
      <c r="AA82" s="149"/>
      <c r="AB82" s="149"/>
    </row>
    <row r="83" spans="1:28" ht="15" customHeight="1">
      <c r="A83" s="240">
        <f t="shared" si="17"/>
        <v>43</v>
      </c>
      <c r="B83" s="241"/>
      <c r="C83" s="292"/>
      <c r="D83" s="242"/>
      <c r="E83" s="292"/>
      <c r="F83" s="604"/>
      <c r="G83" s="607">
        <f>IFERROR(INDEX(【様式３】シフト表!$AK$7:$AK$106,MATCH($O83,【様式３】シフト表!$B$7:$B$106,0),1),0)</f>
        <v>0</v>
      </c>
      <c r="H83" s="162"/>
      <c r="I83" s="243"/>
      <c r="J83" s="610" t="str">
        <f t="shared" si="16"/>
        <v>-</v>
      </c>
      <c r="K83" s="1179"/>
      <c r="L83" s="401"/>
      <c r="M83" s="244" t="b">
        <f t="shared" si="19"/>
        <v>0</v>
      </c>
      <c r="N83" s="496" t="b">
        <f>AND($N$38,C83=$N$39,M83,COUNTIF($N$40:$N82,TRUE)=0)</f>
        <v>0</v>
      </c>
      <c r="O83" s="245">
        <f>IF($E83&lt;&gt;$O$38,0,COUNTIF($E$41:E83,$O$38))</f>
        <v>0</v>
      </c>
      <c r="P83" s="245" t="e">
        <f t="shared" si="20"/>
        <v>#VALUE!</v>
      </c>
      <c r="Q83" s="246" t="b">
        <f t="shared" si="21"/>
        <v>1</v>
      </c>
      <c r="R83" s="374"/>
      <c r="S83" s="293">
        <f t="shared" si="22"/>
        <v>0</v>
      </c>
      <c r="T83" s="248">
        <f t="shared" si="23"/>
        <v>0</v>
      </c>
      <c r="U83" s="293">
        <f t="shared" si="25"/>
        <v>0</v>
      </c>
      <c r="V83" s="248">
        <f t="shared" si="25"/>
        <v>0</v>
      </c>
      <c r="W83" s="248">
        <f t="shared" si="25"/>
        <v>0</v>
      </c>
      <c r="X83" s="294">
        <f t="shared" si="25"/>
        <v>0</v>
      </c>
      <c r="Y83" s="295">
        <f t="shared" si="24"/>
        <v>0</v>
      </c>
      <c r="Z83" s="149"/>
      <c r="AA83" s="149"/>
      <c r="AB83" s="149"/>
    </row>
    <row r="84" spans="1:28" ht="15" customHeight="1">
      <c r="A84" s="240">
        <f t="shared" si="17"/>
        <v>44</v>
      </c>
      <c r="B84" s="241"/>
      <c r="C84" s="292"/>
      <c r="D84" s="242"/>
      <c r="E84" s="292"/>
      <c r="F84" s="604"/>
      <c r="G84" s="607">
        <f>IFERROR(INDEX(【様式３】シフト表!$AK$7:$AK$106,MATCH($O84,【様式３】シフト表!$B$7:$B$106,0),1),0)</f>
        <v>0</v>
      </c>
      <c r="H84" s="162"/>
      <c r="I84" s="243"/>
      <c r="J84" s="610" t="str">
        <f t="shared" si="16"/>
        <v>-</v>
      </c>
      <c r="K84" s="1179"/>
      <c r="L84" s="401"/>
      <c r="M84" s="244" t="b">
        <f t="shared" si="19"/>
        <v>0</v>
      </c>
      <c r="N84" s="496" t="b">
        <f>AND($N$38,C84=$N$39,M84,COUNTIF($N$40:$N83,TRUE)=0)</f>
        <v>0</v>
      </c>
      <c r="O84" s="245">
        <f>IF($E84&lt;&gt;$O$38,0,COUNTIF($E$41:E84,$O$38))</f>
        <v>0</v>
      </c>
      <c r="P84" s="245" t="e">
        <f t="shared" si="20"/>
        <v>#VALUE!</v>
      </c>
      <c r="Q84" s="246" t="b">
        <f t="shared" si="21"/>
        <v>1</v>
      </c>
      <c r="R84" s="374"/>
      <c r="S84" s="293">
        <f t="shared" si="22"/>
        <v>0</v>
      </c>
      <c r="T84" s="248">
        <f t="shared" si="23"/>
        <v>0</v>
      </c>
      <c r="U84" s="293">
        <f t="shared" si="25"/>
        <v>0</v>
      </c>
      <c r="V84" s="248">
        <f t="shared" si="25"/>
        <v>0</v>
      </c>
      <c r="W84" s="248">
        <f t="shared" si="25"/>
        <v>0</v>
      </c>
      <c r="X84" s="294">
        <f t="shared" si="25"/>
        <v>0</v>
      </c>
      <c r="Y84" s="295">
        <f t="shared" si="24"/>
        <v>0</v>
      </c>
      <c r="Z84" s="149"/>
      <c r="AA84" s="149"/>
      <c r="AB84" s="149"/>
    </row>
    <row r="85" spans="1:28" ht="15" customHeight="1">
      <c r="A85" s="240">
        <f t="shared" si="17"/>
        <v>45</v>
      </c>
      <c r="B85" s="241"/>
      <c r="C85" s="292"/>
      <c r="D85" s="242"/>
      <c r="E85" s="292"/>
      <c r="F85" s="604"/>
      <c r="G85" s="607">
        <f>IFERROR(INDEX(【様式３】シフト表!$AK$7:$AK$106,MATCH($O85,【様式３】シフト表!$B$7:$B$106,0),1),0)</f>
        <v>0</v>
      </c>
      <c r="H85" s="162"/>
      <c r="I85" s="243"/>
      <c r="J85" s="610" t="str">
        <f t="shared" si="16"/>
        <v>-</v>
      </c>
      <c r="K85" s="1179"/>
      <c r="L85" s="401"/>
      <c r="M85" s="244" t="b">
        <f t="shared" si="19"/>
        <v>0</v>
      </c>
      <c r="N85" s="496" t="b">
        <f>AND($N$38,C85=$N$39,M85,COUNTIF($N$40:$N84,TRUE)=0)</f>
        <v>0</v>
      </c>
      <c r="O85" s="245">
        <f>IF($E85&lt;&gt;$O$38,0,COUNTIF($E$41:E85,$O$38))</f>
        <v>0</v>
      </c>
      <c r="P85" s="245" t="e">
        <f t="shared" si="20"/>
        <v>#VALUE!</v>
      </c>
      <c r="Q85" s="246" t="b">
        <f t="shared" si="21"/>
        <v>1</v>
      </c>
      <c r="R85" s="374"/>
      <c r="S85" s="293">
        <f t="shared" si="22"/>
        <v>0</v>
      </c>
      <c r="T85" s="248">
        <f t="shared" si="23"/>
        <v>0</v>
      </c>
      <c r="U85" s="293">
        <f t="shared" si="25"/>
        <v>0</v>
      </c>
      <c r="V85" s="248">
        <f t="shared" si="25"/>
        <v>0</v>
      </c>
      <c r="W85" s="248">
        <f t="shared" si="25"/>
        <v>0</v>
      </c>
      <c r="X85" s="294">
        <f t="shared" si="25"/>
        <v>0</v>
      </c>
      <c r="Y85" s="295">
        <f t="shared" si="24"/>
        <v>0</v>
      </c>
      <c r="Z85" s="149"/>
      <c r="AA85" s="149"/>
      <c r="AB85" s="149"/>
    </row>
    <row r="86" spans="1:28" ht="15" customHeight="1">
      <c r="A86" s="240">
        <f t="shared" si="17"/>
        <v>46</v>
      </c>
      <c r="B86" s="241"/>
      <c r="C86" s="292"/>
      <c r="D86" s="242"/>
      <c r="E86" s="292"/>
      <c r="F86" s="604"/>
      <c r="G86" s="607">
        <f>IFERROR(INDEX(【様式３】シフト表!$AK$7:$AK$106,MATCH($O86,【様式３】シフト表!$B$7:$B$106,0),1),0)</f>
        <v>0</v>
      </c>
      <c r="H86" s="162"/>
      <c r="I86" s="243"/>
      <c r="J86" s="610" t="str">
        <f t="shared" si="16"/>
        <v>-</v>
      </c>
      <c r="K86" s="1179"/>
      <c r="L86" s="401"/>
      <c r="M86" s="244" t="b">
        <f t="shared" si="19"/>
        <v>0</v>
      </c>
      <c r="N86" s="496" t="b">
        <f>AND($N$38,C86=$N$39,M86,COUNTIF($N$40:$N85,TRUE)=0)</f>
        <v>0</v>
      </c>
      <c r="O86" s="245">
        <f>IF($E86&lt;&gt;$O$38,0,COUNTIF($E$41:E86,$O$38))</f>
        <v>0</v>
      </c>
      <c r="P86" s="245" t="e">
        <f t="shared" si="20"/>
        <v>#VALUE!</v>
      </c>
      <c r="Q86" s="246" t="b">
        <f t="shared" si="21"/>
        <v>1</v>
      </c>
      <c r="R86" s="374"/>
      <c r="S86" s="293">
        <f t="shared" si="22"/>
        <v>0</v>
      </c>
      <c r="T86" s="248">
        <f t="shared" si="23"/>
        <v>0</v>
      </c>
      <c r="U86" s="293">
        <f t="shared" si="25"/>
        <v>0</v>
      </c>
      <c r="V86" s="248">
        <f t="shared" si="25"/>
        <v>0</v>
      </c>
      <c r="W86" s="248">
        <f t="shared" si="25"/>
        <v>0</v>
      </c>
      <c r="X86" s="294">
        <f t="shared" si="25"/>
        <v>0</v>
      </c>
      <c r="Y86" s="295">
        <f t="shared" si="24"/>
        <v>0</v>
      </c>
      <c r="Z86" s="149"/>
      <c r="AA86" s="149"/>
      <c r="AB86" s="149"/>
    </row>
    <row r="87" spans="1:28" ht="15" customHeight="1">
      <c r="A87" s="240">
        <f t="shared" si="17"/>
        <v>47</v>
      </c>
      <c r="B87" s="241"/>
      <c r="C87" s="292"/>
      <c r="D87" s="242"/>
      <c r="E87" s="292"/>
      <c r="F87" s="604"/>
      <c r="G87" s="607">
        <f>IFERROR(INDEX(【様式３】シフト表!$AK$7:$AK$106,MATCH($O87,【様式３】シフト表!$B$7:$B$106,0),1),0)</f>
        <v>0</v>
      </c>
      <c r="H87" s="162"/>
      <c r="I87" s="243"/>
      <c r="J87" s="610" t="str">
        <f t="shared" si="16"/>
        <v>-</v>
      </c>
      <c r="K87" s="1179"/>
      <c r="L87" s="401"/>
      <c r="M87" s="244" t="b">
        <f t="shared" si="19"/>
        <v>0</v>
      </c>
      <c r="N87" s="496" t="b">
        <f>AND($N$38,C87=$N$39,M87,COUNTIF($N$40:$N86,TRUE)=0)</f>
        <v>0</v>
      </c>
      <c r="O87" s="245">
        <f>IF($E87&lt;&gt;$O$38,0,COUNTIF($E$41:E87,$O$38))</f>
        <v>0</v>
      </c>
      <c r="P87" s="245" t="e">
        <f t="shared" si="20"/>
        <v>#VALUE!</v>
      </c>
      <c r="Q87" s="246" t="b">
        <f t="shared" si="21"/>
        <v>1</v>
      </c>
      <c r="R87" s="374"/>
      <c r="S87" s="293">
        <f t="shared" si="22"/>
        <v>0</v>
      </c>
      <c r="T87" s="248">
        <f t="shared" si="23"/>
        <v>0</v>
      </c>
      <c r="U87" s="293">
        <f t="shared" si="25"/>
        <v>0</v>
      </c>
      <c r="V87" s="248">
        <f t="shared" si="25"/>
        <v>0</v>
      </c>
      <c r="W87" s="248">
        <f t="shared" si="25"/>
        <v>0</v>
      </c>
      <c r="X87" s="294">
        <f t="shared" si="25"/>
        <v>0</v>
      </c>
      <c r="Y87" s="295">
        <f t="shared" si="24"/>
        <v>0</v>
      </c>
      <c r="Z87" s="149"/>
      <c r="AA87" s="149"/>
      <c r="AB87" s="149"/>
    </row>
    <row r="88" spans="1:28" ht="15" customHeight="1">
      <c r="A88" s="240">
        <f t="shared" si="17"/>
        <v>48</v>
      </c>
      <c r="B88" s="241"/>
      <c r="C88" s="292"/>
      <c r="D88" s="242"/>
      <c r="E88" s="292"/>
      <c r="F88" s="604"/>
      <c r="G88" s="607">
        <f>IFERROR(INDEX(【様式３】シフト表!$AK$7:$AK$106,MATCH($O88,【様式３】シフト表!$B$7:$B$106,0),1),0)</f>
        <v>0</v>
      </c>
      <c r="H88" s="162"/>
      <c r="I88" s="243"/>
      <c r="J88" s="610" t="str">
        <f t="shared" si="16"/>
        <v>-</v>
      </c>
      <c r="K88" s="1179"/>
      <c r="L88" s="401"/>
      <c r="M88" s="244" t="b">
        <f t="shared" si="19"/>
        <v>0</v>
      </c>
      <c r="N88" s="496" t="b">
        <f>AND($N$38,C88=$N$39,M88,COUNTIF($N$40:$N87,TRUE)=0)</f>
        <v>0</v>
      </c>
      <c r="O88" s="245">
        <f>IF($E88&lt;&gt;$O$38,0,COUNTIF($E$41:E88,$O$38))</f>
        <v>0</v>
      </c>
      <c r="P88" s="245" t="e">
        <f t="shared" si="20"/>
        <v>#VALUE!</v>
      </c>
      <c r="Q88" s="246" t="b">
        <f t="shared" si="21"/>
        <v>1</v>
      </c>
      <c r="R88" s="374"/>
      <c r="S88" s="293">
        <f t="shared" si="22"/>
        <v>0</v>
      </c>
      <c r="T88" s="248">
        <f t="shared" si="23"/>
        <v>0</v>
      </c>
      <c r="U88" s="293">
        <f t="shared" si="25"/>
        <v>0</v>
      </c>
      <c r="V88" s="248">
        <f t="shared" si="25"/>
        <v>0</v>
      </c>
      <c r="W88" s="248">
        <f t="shared" si="25"/>
        <v>0</v>
      </c>
      <c r="X88" s="294">
        <f t="shared" si="25"/>
        <v>0</v>
      </c>
      <c r="Y88" s="295">
        <f t="shared" si="24"/>
        <v>0</v>
      </c>
      <c r="Z88" s="149"/>
      <c r="AA88" s="149"/>
      <c r="AB88" s="149"/>
    </row>
    <row r="89" spans="1:28" ht="15" customHeight="1">
      <c r="A89" s="240">
        <f t="shared" si="17"/>
        <v>49</v>
      </c>
      <c r="B89" s="241"/>
      <c r="C89" s="292"/>
      <c r="D89" s="242"/>
      <c r="E89" s="292"/>
      <c r="F89" s="604"/>
      <c r="G89" s="607">
        <f>IFERROR(INDEX(【様式３】シフト表!$AK$7:$AK$106,MATCH($O89,【様式３】シフト表!$B$7:$B$106,0),1),0)</f>
        <v>0</v>
      </c>
      <c r="H89" s="162"/>
      <c r="I89" s="243"/>
      <c r="J89" s="610" t="str">
        <f t="shared" si="16"/>
        <v>-</v>
      </c>
      <c r="K89" s="1179"/>
      <c r="L89" s="401"/>
      <c r="M89" s="244" t="b">
        <f t="shared" si="19"/>
        <v>0</v>
      </c>
      <c r="N89" s="496" t="b">
        <f>AND($N$38,C89=$N$39,M89,COUNTIF($N$40:$N88,TRUE)=0)</f>
        <v>0</v>
      </c>
      <c r="O89" s="245">
        <f>IF($E89&lt;&gt;$O$38,0,COUNTIF($E$41:E89,$O$38))</f>
        <v>0</v>
      </c>
      <c r="P89" s="245" t="e">
        <f t="shared" si="20"/>
        <v>#VALUE!</v>
      </c>
      <c r="Q89" s="246" t="b">
        <f t="shared" si="21"/>
        <v>1</v>
      </c>
      <c r="R89" s="374"/>
      <c r="S89" s="293">
        <f t="shared" si="22"/>
        <v>0</v>
      </c>
      <c r="T89" s="248">
        <f t="shared" si="23"/>
        <v>0</v>
      </c>
      <c r="U89" s="293">
        <f t="shared" si="25"/>
        <v>0</v>
      </c>
      <c r="V89" s="248">
        <f t="shared" si="25"/>
        <v>0</v>
      </c>
      <c r="W89" s="248">
        <f t="shared" si="25"/>
        <v>0</v>
      </c>
      <c r="X89" s="294">
        <f t="shared" si="25"/>
        <v>0</v>
      </c>
      <c r="Y89" s="295">
        <f t="shared" si="24"/>
        <v>0</v>
      </c>
      <c r="Z89" s="149"/>
      <c r="AA89" s="149"/>
      <c r="AB89" s="149"/>
    </row>
    <row r="90" spans="1:28" ht="15" customHeight="1">
      <c r="A90" s="240">
        <f t="shared" si="17"/>
        <v>50</v>
      </c>
      <c r="B90" s="241"/>
      <c r="C90" s="292"/>
      <c r="D90" s="242"/>
      <c r="E90" s="292"/>
      <c r="F90" s="604"/>
      <c r="G90" s="607">
        <f>IFERROR(INDEX(【様式３】シフト表!$AK$7:$AK$106,MATCH($O90,【様式３】シフト表!$B$7:$B$106,0),1),0)</f>
        <v>0</v>
      </c>
      <c r="H90" s="162"/>
      <c r="I90" s="243"/>
      <c r="J90" s="610" t="str">
        <f t="shared" si="16"/>
        <v>-</v>
      </c>
      <c r="K90" s="1179"/>
      <c r="L90" s="401"/>
      <c r="M90" s="244" t="b">
        <f t="shared" si="19"/>
        <v>0</v>
      </c>
      <c r="N90" s="496" t="b">
        <f>AND($N$38,C90=$N$39,M90,COUNTIF($N$40:$N89,TRUE)=0)</f>
        <v>0</v>
      </c>
      <c r="O90" s="245">
        <f>IF($E90&lt;&gt;$O$38,0,COUNTIF($E$41:E90,$O$38))</f>
        <v>0</v>
      </c>
      <c r="P90" s="245" t="e">
        <f t="shared" si="20"/>
        <v>#VALUE!</v>
      </c>
      <c r="Q90" s="246" t="b">
        <f t="shared" si="21"/>
        <v>1</v>
      </c>
      <c r="R90" s="374"/>
      <c r="S90" s="293">
        <f t="shared" si="22"/>
        <v>0</v>
      </c>
      <c r="T90" s="248">
        <f t="shared" si="23"/>
        <v>0</v>
      </c>
      <c r="U90" s="293">
        <f t="shared" si="25"/>
        <v>0</v>
      </c>
      <c r="V90" s="248">
        <f t="shared" si="25"/>
        <v>0</v>
      </c>
      <c r="W90" s="248">
        <f t="shared" si="25"/>
        <v>0</v>
      </c>
      <c r="X90" s="294">
        <f t="shared" si="25"/>
        <v>0</v>
      </c>
      <c r="Y90" s="295">
        <f t="shared" si="24"/>
        <v>0</v>
      </c>
      <c r="Z90" s="149"/>
      <c r="AA90" s="149"/>
      <c r="AB90" s="149"/>
    </row>
    <row r="91" spans="1:28" ht="15" customHeight="1">
      <c r="A91" s="240">
        <f t="shared" si="17"/>
        <v>51</v>
      </c>
      <c r="B91" s="241"/>
      <c r="C91" s="292"/>
      <c r="D91" s="242"/>
      <c r="E91" s="292"/>
      <c r="F91" s="604"/>
      <c r="G91" s="607">
        <f>IFERROR(INDEX(【様式３】シフト表!$AK$7:$AK$106,MATCH($O91,【様式３】シフト表!$B$7:$B$106,0),1),0)</f>
        <v>0</v>
      </c>
      <c r="H91" s="162"/>
      <c r="I91" s="243"/>
      <c r="J91" s="610" t="str">
        <f t="shared" si="16"/>
        <v>-</v>
      </c>
      <c r="K91" s="1179"/>
      <c r="L91" s="401"/>
      <c r="M91" s="244" t="b">
        <f t="shared" si="19"/>
        <v>0</v>
      </c>
      <c r="N91" s="496" t="b">
        <f>AND($N$38,C91=$N$39,M91,COUNTIF($N$40:$N90,TRUE)=0)</f>
        <v>0</v>
      </c>
      <c r="O91" s="245">
        <f>IF($E91&lt;&gt;$O$38,0,COUNTIF($E$41:E91,$O$38))</f>
        <v>0</v>
      </c>
      <c r="P91" s="245" t="e">
        <f t="shared" si="20"/>
        <v>#VALUE!</v>
      </c>
      <c r="Q91" s="246" t="b">
        <f t="shared" si="21"/>
        <v>1</v>
      </c>
      <c r="R91" s="374"/>
      <c r="S91" s="293">
        <f t="shared" si="22"/>
        <v>0</v>
      </c>
      <c r="T91" s="248">
        <f t="shared" si="23"/>
        <v>0</v>
      </c>
      <c r="U91" s="293">
        <f t="shared" si="25"/>
        <v>0</v>
      </c>
      <c r="V91" s="248">
        <f t="shared" si="25"/>
        <v>0</v>
      </c>
      <c r="W91" s="248">
        <f t="shared" si="25"/>
        <v>0</v>
      </c>
      <c r="X91" s="294">
        <f t="shared" si="25"/>
        <v>0</v>
      </c>
      <c r="Y91" s="295">
        <f t="shared" si="24"/>
        <v>0</v>
      </c>
      <c r="Z91" s="149"/>
      <c r="AA91" s="149"/>
      <c r="AB91" s="149"/>
    </row>
    <row r="92" spans="1:28" ht="15" customHeight="1">
      <c r="A92" s="240">
        <f t="shared" si="17"/>
        <v>52</v>
      </c>
      <c r="B92" s="241"/>
      <c r="C92" s="292"/>
      <c r="D92" s="242"/>
      <c r="E92" s="292"/>
      <c r="F92" s="604"/>
      <c r="G92" s="607">
        <f>IFERROR(INDEX(【様式３】シフト表!$AK$7:$AK$106,MATCH($O92,【様式３】シフト表!$B$7:$B$106,0),1),0)</f>
        <v>0</v>
      </c>
      <c r="H92" s="162"/>
      <c r="I92" s="243"/>
      <c r="J92" s="610" t="str">
        <f t="shared" si="16"/>
        <v>-</v>
      </c>
      <c r="K92" s="1179"/>
      <c r="L92" s="401"/>
      <c r="M92" s="244" t="b">
        <f t="shared" si="19"/>
        <v>0</v>
      </c>
      <c r="N92" s="496" t="b">
        <f>AND($N$38,C92=$N$39,M92,COUNTIF($N$40:$N91,TRUE)=0)</f>
        <v>0</v>
      </c>
      <c r="O92" s="245">
        <f>IF($E92&lt;&gt;$O$38,0,COUNTIF($E$41:E92,$O$38))</f>
        <v>0</v>
      </c>
      <c r="P92" s="245" t="e">
        <f t="shared" si="20"/>
        <v>#VALUE!</v>
      </c>
      <c r="Q92" s="246" t="b">
        <f t="shared" si="21"/>
        <v>1</v>
      </c>
      <c r="R92" s="374"/>
      <c r="S92" s="293">
        <f t="shared" si="22"/>
        <v>0</v>
      </c>
      <c r="T92" s="248">
        <f t="shared" si="23"/>
        <v>0</v>
      </c>
      <c r="U92" s="293">
        <f t="shared" si="25"/>
        <v>0</v>
      </c>
      <c r="V92" s="248">
        <f t="shared" si="25"/>
        <v>0</v>
      </c>
      <c r="W92" s="248">
        <f t="shared" si="25"/>
        <v>0</v>
      </c>
      <c r="X92" s="294">
        <f t="shared" si="25"/>
        <v>0</v>
      </c>
      <c r="Y92" s="295">
        <f t="shared" si="24"/>
        <v>0</v>
      </c>
      <c r="Z92" s="149"/>
      <c r="AA92" s="149"/>
      <c r="AB92" s="149"/>
    </row>
    <row r="93" spans="1:28" ht="15" customHeight="1">
      <c r="A93" s="240">
        <f t="shared" si="17"/>
        <v>53</v>
      </c>
      <c r="B93" s="241"/>
      <c r="C93" s="292"/>
      <c r="D93" s="242"/>
      <c r="E93" s="292"/>
      <c r="F93" s="604"/>
      <c r="G93" s="607">
        <f>IFERROR(INDEX(【様式３】シフト表!$AK$7:$AK$106,MATCH($O93,【様式３】シフト表!$B$7:$B$106,0),1),0)</f>
        <v>0</v>
      </c>
      <c r="H93" s="162"/>
      <c r="I93" s="243"/>
      <c r="J93" s="610" t="str">
        <f t="shared" si="16"/>
        <v>-</v>
      </c>
      <c r="K93" s="1179"/>
      <c r="L93" s="401"/>
      <c r="M93" s="244" t="b">
        <f t="shared" si="19"/>
        <v>0</v>
      </c>
      <c r="N93" s="496" t="b">
        <f>AND($N$38,C93=$N$39,M93,COUNTIF($N$40:$N92,TRUE)=0)</f>
        <v>0</v>
      </c>
      <c r="O93" s="245">
        <f>IF($E93&lt;&gt;$O$38,0,COUNTIF($E$41:E93,$O$38))</f>
        <v>0</v>
      </c>
      <c r="P93" s="245" t="e">
        <f t="shared" si="20"/>
        <v>#VALUE!</v>
      </c>
      <c r="Q93" s="246" t="b">
        <f t="shared" si="21"/>
        <v>1</v>
      </c>
      <c r="R93" s="374"/>
      <c r="S93" s="293">
        <f t="shared" si="22"/>
        <v>0</v>
      </c>
      <c r="T93" s="248">
        <f t="shared" si="23"/>
        <v>0</v>
      </c>
      <c r="U93" s="293">
        <f t="shared" si="25"/>
        <v>0</v>
      </c>
      <c r="V93" s="248">
        <f t="shared" si="25"/>
        <v>0</v>
      </c>
      <c r="W93" s="248">
        <f t="shared" si="25"/>
        <v>0</v>
      </c>
      <c r="X93" s="294">
        <f t="shared" si="25"/>
        <v>0</v>
      </c>
      <c r="Y93" s="295">
        <f t="shared" si="24"/>
        <v>0</v>
      </c>
      <c r="Z93" s="149"/>
      <c r="AA93" s="149"/>
      <c r="AB93" s="149"/>
    </row>
    <row r="94" spans="1:28" ht="15" customHeight="1">
      <c r="A94" s="240">
        <f t="shared" si="17"/>
        <v>54</v>
      </c>
      <c r="B94" s="241"/>
      <c r="C94" s="292"/>
      <c r="D94" s="242"/>
      <c r="E94" s="292"/>
      <c r="F94" s="604"/>
      <c r="G94" s="607">
        <f>IFERROR(INDEX(【様式３】シフト表!$AK$7:$AK$106,MATCH($O94,【様式３】シフト表!$B$7:$B$106,0),1),0)</f>
        <v>0</v>
      </c>
      <c r="H94" s="162"/>
      <c r="I94" s="243"/>
      <c r="J94" s="610" t="str">
        <f t="shared" si="16"/>
        <v>-</v>
      </c>
      <c r="K94" s="1179"/>
      <c r="L94" s="401"/>
      <c r="M94" s="244" t="b">
        <f t="shared" si="19"/>
        <v>0</v>
      </c>
      <c r="N94" s="496" t="b">
        <f>AND($N$38,C94=$N$39,M94,COUNTIF($N$40:$N93,TRUE)=0)</f>
        <v>0</v>
      </c>
      <c r="O94" s="245">
        <f>IF($E94&lt;&gt;$O$38,0,COUNTIF($E$41:E94,$O$38))</f>
        <v>0</v>
      </c>
      <c r="P94" s="245" t="e">
        <f t="shared" si="20"/>
        <v>#VALUE!</v>
      </c>
      <c r="Q94" s="246" t="b">
        <f t="shared" si="21"/>
        <v>1</v>
      </c>
      <c r="R94" s="374"/>
      <c r="S94" s="293">
        <f t="shared" si="22"/>
        <v>0</v>
      </c>
      <c r="T94" s="248">
        <f t="shared" si="23"/>
        <v>0</v>
      </c>
      <c r="U94" s="293">
        <f t="shared" si="25"/>
        <v>0</v>
      </c>
      <c r="V94" s="248">
        <f t="shared" si="25"/>
        <v>0</v>
      </c>
      <c r="W94" s="248">
        <f t="shared" si="25"/>
        <v>0</v>
      </c>
      <c r="X94" s="294">
        <f t="shared" si="25"/>
        <v>0</v>
      </c>
      <c r="Y94" s="295">
        <f t="shared" si="24"/>
        <v>0</v>
      </c>
      <c r="Z94" s="149"/>
      <c r="AA94" s="149"/>
      <c r="AB94" s="149"/>
    </row>
    <row r="95" spans="1:28" ht="15" customHeight="1">
      <c r="A95" s="240">
        <f t="shared" si="17"/>
        <v>55</v>
      </c>
      <c r="B95" s="241"/>
      <c r="C95" s="292"/>
      <c r="D95" s="242"/>
      <c r="E95" s="292"/>
      <c r="F95" s="604"/>
      <c r="G95" s="607">
        <f>IFERROR(INDEX(【様式３】シフト表!$AK$7:$AK$106,MATCH($O95,【様式３】シフト表!$B$7:$B$106,0),1),0)</f>
        <v>0</v>
      </c>
      <c r="H95" s="162"/>
      <c r="I95" s="243"/>
      <c r="J95" s="610" t="str">
        <f t="shared" si="16"/>
        <v>-</v>
      </c>
      <c r="K95" s="1179"/>
      <c r="L95" s="401"/>
      <c r="M95" s="244" t="b">
        <f t="shared" si="19"/>
        <v>0</v>
      </c>
      <c r="N95" s="496" t="b">
        <f>AND($N$38,C95=$N$39,M95,COUNTIF($N$40:$N94,TRUE)=0)</f>
        <v>0</v>
      </c>
      <c r="O95" s="245">
        <f>IF($E95&lt;&gt;$O$38,0,COUNTIF($E$41:E95,$O$38))</f>
        <v>0</v>
      </c>
      <c r="P95" s="245" t="e">
        <f t="shared" si="20"/>
        <v>#VALUE!</v>
      </c>
      <c r="Q95" s="246" t="b">
        <f t="shared" si="21"/>
        <v>1</v>
      </c>
      <c r="R95" s="374"/>
      <c r="S95" s="293">
        <f t="shared" si="22"/>
        <v>0</v>
      </c>
      <c r="T95" s="248">
        <f t="shared" si="23"/>
        <v>0</v>
      </c>
      <c r="U95" s="293">
        <f t="shared" si="25"/>
        <v>0</v>
      </c>
      <c r="V95" s="248">
        <f t="shared" si="25"/>
        <v>0</v>
      </c>
      <c r="W95" s="248">
        <f t="shared" si="25"/>
        <v>0</v>
      </c>
      <c r="X95" s="294">
        <f t="shared" si="25"/>
        <v>0</v>
      </c>
      <c r="Y95" s="295">
        <f t="shared" si="24"/>
        <v>0</v>
      </c>
      <c r="Z95" s="149"/>
      <c r="AA95" s="149"/>
      <c r="AB95" s="149"/>
    </row>
    <row r="96" spans="1:28" ht="15" customHeight="1">
      <c r="A96" s="240">
        <f t="shared" si="17"/>
        <v>56</v>
      </c>
      <c r="B96" s="241"/>
      <c r="C96" s="292"/>
      <c r="D96" s="242"/>
      <c r="E96" s="292"/>
      <c r="F96" s="604"/>
      <c r="G96" s="607">
        <f>IFERROR(INDEX(【様式３】シフト表!$AK$7:$AK$106,MATCH($O96,【様式３】シフト表!$B$7:$B$106,0),1),0)</f>
        <v>0</v>
      </c>
      <c r="H96" s="162"/>
      <c r="I96" s="243"/>
      <c r="J96" s="610" t="str">
        <f t="shared" si="16"/>
        <v>-</v>
      </c>
      <c r="K96" s="1179"/>
      <c r="L96" s="401"/>
      <c r="M96" s="244" t="b">
        <f t="shared" si="19"/>
        <v>0</v>
      </c>
      <c r="N96" s="496" t="b">
        <f>AND($N$38,C96=$N$39,M96,COUNTIF($N$40:$N95,TRUE)=0)</f>
        <v>0</v>
      </c>
      <c r="O96" s="245">
        <f>IF($E96&lt;&gt;$O$38,0,COUNTIF($E$41:E96,$O$38))</f>
        <v>0</v>
      </c>
      <c r="P96" s="245" t="e">
        <f t="shared" si="20"/>
        <v>#VALUE!</v>
      </c>
      <c r="Q96" s="246" t="b">
        <f t="shared" si="21"/>
        <v>1</v>
      </c>
      <c r="R96" s="374"/>
      <c r="S96" s="293">
        <f t="shared" si="22"/>
        <v>0</v>
      </c>
      <c r="T96" s="248">
        <f t="shared" si="23"/>
        <v>0</v>
      </c>
      <c r="U96" s="293">
        <f t="shared" si="25"/>
        <v>0</v>
      </c>
      <c r="V96" s="248">
        <f t="shared" si="25"/>
        <v>0</v>
      </c>
      <c r="W96" s="248">
        <f t="shared" si="25"/>
        <v>0</v>
      </c>
      <c r="X96" s="294">
        <f t="shared" si="25"/>
        <v>0</v>
      </c>
      <c r="Y96" s="295">
        <f t="shared" si="24"/>
        <v>0</v>
      </c>
      <c r="Z96" s="149"/>
      <c r="AA96" s="149"/>
      <c r="AB96" s="149"/>
    </row>
    <row r="97" spans="1:28" ht="15" customHeight="1">
      <c r="A97" s="240">
        <f t="shared" si="17"/>
        <v>57</v>
      </c>
      <c r="B97" s="241"/>
      <c r="C97" s="292"/>
      <c r="D97" s="242"/>
      <c r="E97" s="292"/>
      <c r="F97" s="604"/>
      <c r="G97" s="607">
        <f>IFERROR(INDEX(【様式３】シフト表!$AK$7:$AK$106,MATCH($O97,【様式３】シフト表!$B$7:$B$106,0),1),0)</f>
        <v>0</v>
      </c>
      <c r="H97" s="162"/>
      <c r="I97" s="243"/>
      <c r="J97" s="610" t="str">
        <f t="shared" si="16"/>
        <v>-</v>
      </c>
      <c r="K97" s="1179"/>
      <c r="L97" s="401"/>
      <c r="M97" s="244" t="b">
        <f t="shared" si="19"/>
        <v>0</v>
      </c>
      <c r="N97" s="496" t="b">
        <f>AND($N$38,C97=$N$39,M97,COUNTIF($N$40:$N96,TRUE)=0)</f>
        <v>0</v>
      </c>
      <c r="O97" s="245">
        <f>IF($E97&lt;&gt;$O$38,0,COUNTIF($E$41:E97,$O$38))</f>
        <v>0</v>
      </c>
      <c r="P97" s="245" t="e">
        <f t="shared" si="20"/>
        <v>#VALUE!</v>
      </c>
      <c r="Q97" s="246" t="b">
        <f t="shared" si="21"/>
        <v>1</v>
      </c>
      <c r="R97" s="374"/>
      <c r="S97" s="293">
        <f t="shared" si="22"/>
        <v>0</v>
      </c>
      <c r="T97" s="248">
        <f t="shared" si="23"/>
        <v>0</v>
      </c>
      <c r="U97" s="293">
        <f t="shared" si="25"/>
        <v>0</v>
      </c>
      <c r="V97" s="248">
        <f t="shared" si="25"/>
        <v>0</v>
      </c>
      <c r="W97" s="248">
        <f t="shared" si="25"/>
        <v>0</v>
      </c>
      <c r="X97" s="294">
        <f t="shared" si="25"/>
        <v>0</v>
      </c>
      <c r="Y97" s="295">
        <f t="shared" si="24"/>
        <v>0</v>
      </c>
      <c r="Z97" s="149"/>
      <c r="AA97" s="149"/>
      <c r="AB97" s="149"/>
    </row>
    <row r="98" spans="1:28" ht="15" customHeight="1">
      <c r="A98" s="240">
        <f t="shared" si="17"/>
        <v>58</v>
      </c>
      <c r="B98" s="241"/>
      <c r="C98" s="292"/>
      <c r="D98" s="242"/>
      <c r="E98" s="292"/>
      <c r="F98" s="604"/>
      <c r="G98" s="607">
        <f>IFERROR(INDEX(【様式３】シフト表!$AK$7:$AK$106,MATCH($O98,【様式３】シフト表!$B$7:$B$106,0),1),0)</f>
        <v>0</v>
      </c>
      <c r="H98" s="162"/>
      <c r="I98" s="243"/>
      <c r="J98" s="610" t="str">
        <f t="shared" si="16"/>
        <v>-</v>
      </c>
      <c r="K98" s="1179"/>
      <c r="L98" s="401"/>
      <c r="M98" s="244" t="b">
        <f t="shared" si="19"/>
        <v>0</v>
      </c>
      <c r="N98" s="496" t="b">
        <f>AND($N$38,C98=$N$39,M98,COUNTIF($N$40:$N97,TRUE)=0)</f>
        <v>0</v>
      </c>
      <c r="O98" s="245">
        <f>IF($E98&lt;&gt;$O$38,0,COUNTIF($E$41:E98,$O$38))</f>
        <v>0</v>
      </c>
      <c r="P98" s="245" t="e">
        <f t="shared" si="20"/>
        <v>#VALUE!</v>
      </c>
      <c r="Q98" s="246" t="b">
        <f t="shared" si="21"/>
        <v>1</v>
      </c>
      <c r="R98" s="374"/>
      <c r="S98" s="293">
        <f t="shared" si="22"/>
        <v>0</v>
      </c>
      <c r="T98" s="248">
        <f t="shared" si="23"/>
        <v>0</v>
      </c>
      <c r="U98" s="293">
        <f t="shared" si="25"/>
        <v>0</v>
      </c>
      <c r="V98" s="248">
        <f t="shared" si="25"/>
        <v>0</v>
      </c>
      <c r="W98" s="248">
        <f t="shared" si="25"/>
        <v>0</v>
      </c>
      <c r="X98" s="294">
        <f t="shared" si="25"/>
        <v>0</v>
      </c>
      <c r="Y98" s="295">
        <f t="shared" si="24"/>
        <v>0</v>
      </c>
      <c r="Z98" s="149"/>
      <c r="AA98" s="149"/>
      <c r="AB98" s="149"/>
    </row>
    <row r="99" spans="1:28" ht="15" customHeight="1">
      <c r="A99" s="240">
        <f t="shared" si="17"/>
        <v>59</v>
      </c>
      <c r="B99" s="241"/>
      <c r="C99" s="292"/>
      <c r="D99" s="242"/>
      <c r="E99" s="292"/>
      <c r="F99" s="604"/>
      <c r="G99" s="607">
        <f>IFERROR(INDEX(【様式３】シフト表!$AK$7:$AK$106,MATCH($O99,【様式３】シフト表!$B$7:$B$106,0),1),0)</f>
        <v>0</v>
      </c>
      <c r="H99" s="162"/>
      <c r="I99" s="243"/>
      <c r="J99" s="610" t="str">
        <f t="shared" si="16"/>
        <v>-</v>
      </c>
      <c r="K99" s="1179"/>
      <c r="L99" s="401"/>
      <c r="M99" s="244" t="b">
        <f t="shared" si="19"/>
        <v>0</v>
      </c>
      <c r="N99" s="496" t="b">
        <f>AND($N$38,C99=$N$39,M99,COUNTIF($N$40:$N98,TRUE)=0)</f>
        <v>0</v>
      </c>
      <c r="O99" s="245">
        <f>IF($E99&lt;&gt;$O$38,0,COUNTIF($E$41:E99,$O$38))</f>
        <v>0</v>
      </c>
      <c r="P99" s="245" t="e">
        <f t="shared" si="20"/>
        <v>#VALUE!</v>
      </c>
      <c r="Q99" s="246" t="b">
        <f t="shared" si="21"/>
        <v>1</v>
      </c>
      <c r="R99" s="374"/>
      <c r="S99" s="293">
        <f t="shared" si="22"/>
        <v>0</v>
      </c>
      <c r="T99" s="248">
        <f t="shared" si="23"/>
        <v>0</v>
      </c>
      <c r="U99" s="293">
        <f t="shared" si="25"/>
        <v>0</v>
      </c>
      <c r="V99" s="248">
        <f t="shared" si="25"/>
        <v>0</v>
      </c>
      <c r="W99" s="248">
        <f t="shared" si="25"/>
        <v>0</v>
      </c>
      <c r="X99" s="294">
        <f t="shared" si="25"/>
        <v>0</v>
      </c>
      <c r="Y99" s="295">
        <f t="shared" si="24"/>
        <v>0</v>
      </c>
      <c r="Z99" s="149"/>
      <c r="AA99" s="149"/>
      <c r="AB99" s="149"/>
    </row>
    <row r="100" spans="1:28" ht="15" customHeight="1">
      <c r="A100" s="240">
        <f t="shared" si="17"/>
        <v>60</v>
      </c>
      <c r="B100" s="241"/>
      <c r="C100" s="292"/>
      <c r="D100" s="242"/>
      <c r="E100" s="292"/>
      <c r="F100" s="604"/>
      <c r="G100" s="607">
        <f>IFERROR(INDEX(【様式３】シフト表!$AK$7:$AK$106,MATCH($O100,【様式３】シフト表!$B$7:$B$106,0),1),0)</f>
        <v>0</v>
      </c>
      <c r="H100" s="162"/>
      <c r="I100" s="243"/>
      <c r="J100" s="610" t="str">
        <f t="shared" si="16"/>
        <v>-</v>
      </c>
      <c r="K100" s="1179"/>
      <c r="L100" s="401"/>
      <c r="M100" s="244" t="b">
        <f t="shared" si="19"/>
        <v>0</v>
      </c>
      <c r="N100" s="496" t="b">
        <f>AND($N$38,C100=$N$39,M100,COUNTIF($N$40:$N99,TRUE)=0)</f>
        <v>0</v>
      </c>
      <c r="O100" s="245">
        <f>IF($E100&lt;&gt;$O$38,0,COUNTIF($E$41:E100,$O$38))</f>
        <v>0</v>
      </c>
      <c r="P100" s="245" t="e">
        <f t="shared" si="20"/>
        <v>#VALUE!</v>
      </c>
      <c r="Q100" s="246" t="b">
        <f t="shared" si="21"/>
        <v>1</v>
      </c>
      <c r="R100" s="374"/>
      <c r="S100" s="293">
        <f t="shared" si="22"/>
        <v>0</v>
      </c>
      <c r="T100" s="248">
        <f t="shared" si="23"/>
        <v>0</v>
      </c>
      <c r="U100" s="293">
        <f t="shared" si="25"/>
        <v>0</v>
      </c>
      <c r="V100" s="248">
        <f t="shared" si="25"/>
        <v>0</v>
      </c>
      <c r="W100" s="248">
        <f t="shared" si="25"/>
        <v>0</v>
      </c>
      <c r="X100" s="294">
        <f t="shared" si="25"/>
        <v>0</v>
      </c>
      <c r="Y100" s="295">
        <f t="shared" si="24"/>
        <v>0</v>
      </c>
      <c r="Z100" s="149"/>
      <c r="AA100" s="149"/>
      <c r="AB100" s="149"/>
    </row>
    <row r="101" spans="1:28" ht="15" customHeight="1">
      <c r="A101" s="240">
        <f t="shared" si="17"/>
        <v>61</v>
      </c>
      <c r="B101" s="241"/>
      <c r="C101" s="292"/>
      <c r="D101" s="242"/>
      <c r="E101" s="292"/>
      <c r="F101" s="604"/>
      <c r="G101" s="607">
        <f>IFERROR(INDEX(【様式３】シフト表!$AK$7:$AK$106,MATCH($O101,【様式３】シフト表!$B$7:$B$106,0),1),0)</f>
        <v>0</v>
      </c>
      <c r="H101" s="162"/>
      <c r="I101" s="243"/>
      <c r="J101" s="610" t="str">
        <f t="shared" si="16"/>
        <v>-</v>
      </c>
      <c r="K101" s="1179"/>
      <c r="L101" s="401"/>
      <c r="M101" s="244" t="b">
        <f t="shared" si="19"/>
        <v>0</v>
      </c>
      <c r="N101" s="496" t="b">
        <f>AND($N$38,C101=$N$39,M101,COUNTIF($N$40:$N100,TRUE)=0)</f>
        <v>0</v>
      </c>
      <c r="O101" s="245">
        <f>IF($E101&lt;&gt;$O$38,0,COUNTIF($E$41:E101,$O$38))</f>
        <v>0</v>
      </c>
      <c r="P101" s="245" t="e">
        <f t="shared" si="20"/>
        <v>#VALUE!</v>
      </c>
      <c r="Q101" s="246" t="b">
        <f t="shared" si="21"/>
        <v>1</v>
      </c>
      <c r="R101" s="374"/>
      <c r="S101" s="293">
        <f t="shared" si="22"/>
        <v>0</v>
      </c>
      <c r="T101" s="248">
        <f t="shared" si="23"/>
        <v>0</v>
      </c>
      <c r="U101" s="293">
        <f t="shared" ref="U101:X120" si="26">IF(AND($E101=U$37,$F101=U$38),$J101,0)</f>
        <v>0</v>
      </c>
      <c r="V101" s="248">
        <f t="shared" si="26"/>
        <v>0</v>
      </c>
      <c r="W101" s="248">
        <f t="shared" si="26"/>
        <v>0</v>
      </c>
      <c r="X101" s="294">
        <f t="shared" si="26"/>
        <v>0</v>
      </c>
      <c r="Y101" s="295">
        <f t="shared" si="24"/>
        <v>0</v>
      </c>
      <c r="Z101" s="149"/>
      <c r="AA101" s="149"/>
      <c r="AB101" s="149"/>
    </row>
    <row r="102" spans="1:28" ht="15" customHeight="1">
      <c r="A102" s="240">
        <f t="shared" si="17"/>
        <v>62</v>
      </c>
      <c r="B102" s="241"/>
      <c r="C102" s="292"/>
      <c r="D102" s="242"/>
      <c r="E102" s="292"/>
      <c r="F102" s="604"/>
      <c r="G102" s="607">
        <f>IFERROR(INDEX(【様式３】シフト表!$AK$7:$AK$106,MATCH($O102,【様式３】シフト表!$B$7:$B$106,0),1),0)</f>
        <v>0</v>
      </c>
      <c r="H102" s="162"/>
      <c r="I102" s="243"/>
      <c r="J102" s="610" t="str">
        <f t="shared" si="16"/>
        <v>-</v>
      </c>
      <c r="K102" s="1179"/>
      <c r="L102" s="401"/>
      <c r="M102" s="244" t="b">
        <f t="shared" si="19"/>
        <v>0</v>
      </c>
      <c r="N102" s="496" t="b">
        <f>AND($N$38,C102=$N$39,M102,COUNTIF($N$40:$N101,TRUE)=0)</f>
        <v>0</v>
      </c>
      <c r="O102" s="245">
        <f>IF($E102&lt;&gt;$O$38,0,COUNTIF($E$41:E102,$O$38))</f>
        <v>0</v>
      </c>
      <c r="P102" s="245" t="e">
        <f t="shared" si="20"/>
        <v>#VALUE!</v>
      </c>
      <c r="Q102" s="246" t="b">
        <f t="shared" si="21"/>
        <v>1</v>
      </c>
      <c r="R102" s="374"/>
      <c r="S102" s="293">
        <f t="shared" si="22"/>
        <v>0</v>
      </c>
      <c r="T102" s="248">
        <f t="shared" si="23"/>
        <v>0</v>
      </c>
      <c r="U102" s="293">
        <f t="shared" si="26"/>
        <v>0</v>
      </c>
      <c r="V102" s="248">
        <f t="shared" si="26"/>
        <v>0</v>
      </c>
      <c r="W102" s="248">
        <f t="shared" si="26"/>
        <v>0</v>
      </c>
      <c r="X102" s="294">
        <f t="shared" si="26"/>
        <v>0</v>
      </c>
      <c r="Y102" s="295">
        <f t="shared" si="24"/>
        <v>0</v>
      </c>
      <c r="Z102" s="149"/>
      <c r="AA102" s="149"/>
      <c r="AB102" s="149"/>
    </row>
    <row r="103" spans="1:28" ht="15" customHeight="1">
      <c r="A103" s="240">
        <f t="shared" si="17"/>
        <v>63</v>
      </c>
      <c r="B103" s="241"/>
      <c r="C103" s="292"/>
      <c r="D103" s="242"/>
      <c r="E103" s="292"/>
      <c r="F103" s="604"/>
      <c r="G103" s="607">
        <f>IFERROR(INDEX(【様式３】シフト表!$AK$7:$AK$106,MATCH($O103,【様式３】シフト表!$B$7:$B$106,0),1),0)</f>
        <v>0</v>
      </c>
      <c r="H103" s="162"/>
      <c r="I103" s="243"/>
      <c r="J103" s="610" t="str">
        <f t="shared" si="16"/>
        <v>-</v>
      </c>
      <c r="K103" s="1179"/>
      <c r="L103" s="401"/>
      <c r="M103" s="244" t="b">
        <f t="shared" si="19"/>
        <v>0</v>
      </c>
      <c r="N103" s="496" t="b">
        <f>AND($N$38,C103=$N$39,M103,COUNTIF($N$40:$N102,TRUE)=0)</f>
        <v>0</v>
      </c>
      <c r="O103" s="245">
        <f>IF($E103&lt;&gt;$O$38,0,COUNTIF($E$41:E103,$O$38))</f>
        <v>0</v>
      </c>
      <c r="P103" s="245" t="e">
        <f t="shared" si="20"/>
        <v>#VALUE!</v>
      </c>
      <c r="Q103" s="246" t="b">
        <f t="shared" si="21"/>
        <v>1</v>
      </c>
      <c r="R103" s="374"/>
      <c r="S103" s="293">
        <f t="shared" si="22"/>
        <v>0</v>
      </c>
      <c r="T103" s="248">
        <f t="shared" si="23"/>
        <v>0</v>
      </c>
      <c r="U103" s="293">
        <f t="shared" si="26"/>
        <v>0</v>
      </c>
      <c r="V103" s="248">
        <f t="shared" si="26"/>
        <v>0</v>
      </c>
      <c r="W103" s="248">
        <f t="shared" si="26"/>
        <v>0</v>
      </c>
      <c r="X103" s="294">
        <f t="shared" si="26"/>
        <v>0</v>
      </c>
      <c r="Y103" s="295">
        <f t="shared" si="24"/>
        <v>0</v>
      </c>
      <c r="Z103" s="149"/>
      <c r="AA103" s="149"/>
      <c r="AB103" s="149"/>
    </row>
    <row r="104" spans="1:28" ht="15" customHeight="1">
      <c r="A104" s="240">
        <f t="shared" si="17"/>
        <v>64</v>
      </c>
      <c r="B104" s="241"/>
      <c r="C104" s="292"/>
      <c r="D104" s="242"/>
      <c r="E104" s="292"/>
      <c r="F104" s="604"/>
      <c r="G104" s="607">
        <f>IFERROR(INDEX(【様式３】シフト表!$AK$7:$AK$106,MATCH($O104,【様式３】シフト表!$B$7:$B$106,0),1),0)</f>
        <v>0</v>
      </c>
      <c r="H104" s="162"/>
      <c r="I104" s="243"/>
      <c r="J104" s="610" t="str">
        <f t="shared" si="16"/>
        <v>-</v>
      </c>
      <c r="K104" s="1179"/>
      <c r="L104" s="401"/>
      <c r="M104" s="244" t="b">
        <f t="shared" si="19"/>
        <v>0</v>
      </c>
      <c r="N104" s="496" t="b">
        <f>AND($N$38,C104=$N$39,M104,COUNTIF($N$40:$N103,TRUE)=0)</f>
        <v>0</v>
      </c>
      <c r="O104" s="245">
        <f>IF($E104&lt;&gt;$O$38,0,COUNTIF($E$41:E104,$O$38))</f>
        <v>0</v>
      </c>
      <c r="P104" s="245" t="e">
        <f t="shared" si="20"/>
        <v>#VALUE!</v>
      </c>
      <c r="Q104" s="246" t="b">
        <f t="shared" si="21"/>
        <v>1</v>
      </c>
      <c r="R104" s="374"/>
      <c r="S104" s="293">
        <f t="shared" si="22"/>
        <v>0</v>
      </c>
      <c r="T104" s="248">
        <f t="shared" si="23"/>
        <v>0</v>
      </c>
      <c r="U104" s="293">
        <f t="shared" si="26"/>
        <v>0</v>
      </c>
      <c r="V104" s="248">
        <f t="shared" si="26"/>
        <v>0</v>
      </c>
      <c r="W104" s="248">
        <f t="shared" si="26"/>
        <v>0</v>
      </c>
      <c r="X104" s="294">
        <f t="shared" si="26"/>
        <v>0</v>
      </c>
      <c r="Y104" s="295">
        <f t="shared" si="24"/>
        <v>0</v>
      </c>
      <c r="Z104" s="149"/>
      <c r="AA104" s="149"/>
      <c r="AB104" s="149"/>
    </row>
    <row r="105" spans="1:28" ht="15" customHeight="1">
      <c r="A105" s="240">
        <f t="shared" si="17"/>
        <v>65</v>
      </c>
      <c r="B105" s="241"/>
      <c r="C105" s="292"/>
      <c r="D105" s="242"/>
      <c r="E105" s="292"/>
      <c r="F105" s="604"/>
      <c r="G105" s="607">
        <f>IFERROR(INDEX(【様式３】シフト表!$AK$7:$AK$106,MATCH($O105,【様式３】シフト表!$B$7:$B$106,0),1),0)</f>
        <v>0</v>
      </c>
      <c r="H105" s="162"/>
      <c r="I105" s="243"/>
      <c r="J105" s="610" t="str">
        <f t="shared" si="16"/>
        <v>-</v>
      </c>
      <c r="K105" s="1179"/>
      <c r="L105" s="401"/>
      <c r="M105" s="244" t="b">
        <f t="shared" ref="M105:M140" si="27">$D105=$M$38</f>
        <v>0</v>
      </c>
      <c r="N105" s="496" t="b">
        <f>AND($N$38,C105=$N$39,M105,COUNTIF($N$40:$N104,TRUE)=0)</f>
        <v>0</v>
      </c>
      <c r="O105" s="245">
        <f>IF($E105&lt;&gt;$O$38,0,COUNTIF($E$41:E105,$O$38))</f>
        <v>0</v>
      </c>
      <c r="P105" s="245" t="e">
        <f t="shared" ref="P105:P140" si="28">OR($H105&gt;$H$39,AND($E105=$AC$26,$F105&lt;&gt;$AD$26,$F105&lt;&gt;$AD$27,$F105&lt;&gt;$AD$28,$F105&lt;&gt;$AD$29),AND($E105=$AC$27,$F105&lt;&gt;$AE$26,$F105&lt;&gt;$AE$27,$F105&lt;&gt;$AE$28,$F105&lt;&gt;$AE$29))</f>
        <v>#VALUE!</v>
      </c>
      <c r="Q105" s="246" t="b">
        <f t="shared" ref="Q105:Q140" si="29">OR($B105=0,$C105=0,$E105=0,AND($E105&lt;&gt;0,$F105=0),AND($E105=Q$38,$G105=0),$H105=0)</f>
        <v>1</v>
      </c>
      <c r="R105" s="374"/>
      <c r="S105" s="293">
        <f t="shared" ref="S105:S140" si="30">IF($E105=S$37,1,0)</f>
        <v>0</v>
      </c>
      <c r="T105" s="248">
        <f t="shared" ref="T105:T140" si="31">IF($E105=T$37,$G105,0)</f>
        <v>0</v>
      </c>
      <c r="U105" s="293">
        <f t="shared" si="26"/>
        <v>0</v>
      </c>
      <c r="V105" s="248">
        <f t="shared" si="26"/>
        <v>0</v>
      </c>
      <c r="W105" s="248">
        <f t="shared" si="26"/>
        <v>0</v>
      </c>
      <c r="X105" s="294">
        <f t="shared" si="26"/>
        <v>0</v>
      </c>
      <c r="Y105" s="295">
        <f t="shared" ref="Y105:Y140" si="32">IF($E105=Y$37,$J105,0)</f>
        <v>0</v>
      </c>
      <c r="Z105" s="149"/>
      <c r="AA105" s="149"/>
      <c r="AB105" s="149"/>
    </row>
    <row r="106" spans="1:28" ht="15" customHeight="1">
      <c r="A106" s="240">
        <f t="shared" si="17"/>
        <v>66</v>
      </c>
      <c r="B106" s="241"/>
      <c r="C106" s="292"/>
      <c r="D106" s="242"/>
      <c r="E106" s="292"/>
      <c r="F106" s="604"/>
      <c r="G106" s="607">
        <f>IFERROR(INDEX(【様式３】シフト表!$AK$7:$AK$106,MATCH($O106,【様式３】シフト表!$B$7:$B$106,0),1),0)</f>
        <v>0</v>
      </c>
      <c r="H106" s="162"/>
      <c r="I106" s="243"/>
      <c r="J106" s="610" t="str">
        <f t="shared" ref="J106:J140" si="33">IF($B$35=B106,$J$35,IF(M106,IF(OR(Q106,P106),"エラー",IF(C106=$AA$32,IF(N106,$AA$27,$AA$31),C106)),"-"))</f>
        <v>-</v>
      </c>
      <c r="K106" s="1179"/>
      <c r="L106" s="401"/>
      <c r="M106" s="244" t="b">
        <f t="shared" si="27"/>
        <v>0</v>
      </c>
      <c r="N106" s="496" t="b">
        <f>AND($N$38,C106=$N$39,M106,COUNTIF($N$40:$N105,TRUE)=0)</f>
        <v>0</v>
      </c>
      <c r="O106" s="245">
        <f>IF($E106&lt;&gt;$O$38,0,COUNTIF($E$41:E106,$O$38))</f>
        <v>0</v>
      </c>
      <c r="P106" s="245" t="e">
        <f t="shared" si="28"/>
        <v>#VALUE!</v>
      </c>
      <c r="Q106" s="246" t="b">
        <f t="shared" si="29"/>
        <v>1</v>
      </c>
      <c r="R106" s="374"/>
      <c r="S106" s="293">
        <f t="shared" si="30"/>
        <v>0</v>
      </c>
      <c r="T106" s="248">
        <f t="shared" si="31"/>
        <v>0</v>
      </c>
      <c r="U106" s="293">
        <f t="shared" si="26"/>
        <v>0</v>
      </c>
      <c r="V106" s="248">
        <f t="shared" si="26"/>
        <v>0</v>
      </c>
      <c r="W106" s="248">
        <f t="shared" si="26"/>
        <v>0</v>
      </c>
      <c r="X106" s="294">
        <f t="shared" si="26"/>
        <v>0</v>
      </c>
      <c r="Y106" s="295">
        <f t="shared" si="32"/>
        <v>0</v>
      </c>
      <c r="Z106" s="149"/>
      <c r="AA106" s="149"/>
      <c r="AB106" s="149"/>
    </row>
    <row r="107" spans="1:28" ht="15" customHeight="1">
      <c r="A107" s="240">
        <f t="shared" ref="A107:A140" si="34">A106+1</f>
        <v>67</v>
      </c>
      <c r="B107" s="241"/>
      <c r="C107" s="292"/>
      <c r="D107" s="242"/>
      <c r="E107" s="292"/>
      <c r="F107" s="604"/>
      <c r="G107" s="607">
        <f>IFERROR(INDEX(【様式３】シフト表!$AK$7:$AK$106,MATCH($O107,【様式３】シフト表!$B$7:$B$106,0),1),0)</f>
        <v>0</v>
      </c>
      <c r="H107" s="162"/>
      <c r="I107" s="243"/>
      <c r="J107" s="610" t="str">
        <f t="shared" si="33"/>
        <v>-</v>
      </c>
      <c r="K107" s="1179"/>
      <c r="L107" s="401"/>
      <c r="M107" s="244" t="b">
        <f t="shared" si="27"/>
        <v>0</v>
      </c>
      <c r="N107" s="496" t="b">
        <f>AND($N$38,C107=$N$39,M107,COUNTIF($N$40:$N106,TRUE)=0)</f>
        <v>0</v>
      </c>
      <c r="O107" s="245">
        <f>IF($E107&lt;&gt;$O$38,0,COUNTIF($E$41:E107,$O$38))</f>
        <v>0</v>
      </c>
      <c r="P107" s="245" t="e">
        <f t="shared" si="28"/>
        <v>#VALUE!</v>
      </c>
      <c r="Q107" s="246" t="b">
        <f t="shared" si="29"/>
        <v>1</v>
      </c>
      <c r="R107" s="374"/>
      <c r="S107" s="293">
        <f t="shared" si="30"/>
        <v>0</v>
      </c>
      <c r="T107" s="248">
        <f t="shared" si="31"/>
        <v>0</v>
      </c>
      <c r="U107" s="293">
        <f t="shared" si="26"/>
        <v>0</v>
      </c>
      <c r="V107" s="248">
        <f t="shared" si="26"/>
        <v>0</v>
      </c>
      <c r="W107" s="248">
        <f t="shared" si="26"/>
        <v>0</v>
      </c>
      <c r="X107" s="294">
        <f t="shared" si="26"/>
        <v>0</v>
      </c>
      <c r="Y107" s="295">
        <f t="shared" si="32"/>
        <v>0</v>
      </c>
      <c r="Z107" s="149"/>
      <c r="AA107" s="149"/>
      <c r="AB107" s="149"/>
    </row>
    <row r="108" spans="1:28" ht="15" customHeight="1">
      <c r="A108" s="240">
        <f t="shared" si="34"/>
        <v>68</v>
      </c>
      <c r="B108" s="241"/>
      <c r="C108" s="292"/>
      <c r="D108" s="242"/>
      <c r="E108" s="292"/>
      <c r="F108" s="604"/>
      <c r="G108" s="607">
        <f>IFERROR(INDEX(【様式３】シフト表!$AK$7:$AK$106,MATCH($O108,【様式３】シフト表!$B$7:$B$106,0),1),0)</f>
        <v>0</v>
      </c>
      <c r="H108" s="162"/>
      <c r="I108" s="243"/>
      <c r="J108" s="610" t="str">
        <f t="shared" si="33"/>
        <v>-</v>
      </c>
      <c r="K108" s="1179"/>
      <c r="L108" s="401"/>
      <c r="M108" s="244" t="b">
        <f t="shared" si="27"/>
        <v>0</v>
      </c>
      <c r="N108" s="496" t="b">
        <f>AND($N$38,C108=$N$39,M108,COUNTIF($N$40:$N107,TRUE)=0)</f>
        <v>0</v>
      </c>
      <c r="O108" s="245">
        <f>IF($E108&lt;&gt;$O$38,0,COUNTIF($E$41:E108,$O$38))</f>
        <v>0</v>
      </c>
      <c r="P108" s="245" t="e">
        <f t="shared" si="28"/>
        <v>#VALUE!</v>
      </c>
      <c r="Q108" s="246" t="b">
        <f t="shared" si="29"/>
        <v>1</v>
      </c>
      <c r="R108" s="374"/>
      <c r="S108" s="293">
        <f t="shared" si="30"/>
        <v>0</v>
      </c>
      <c r="T108" s="248">
        <f t="shared" si="31"/>
        <v>0</v>
      </c>
      <c r="U108" s="293">
        <f t="shared" si="26"/>
        <v>0</v>
      </c>
      <c r="V108" s="248">
        <f t="shared" si="26"/>
        <v>0</v>
      </c>
      <c r="W108" s="248">
        <f t="shared" si="26"/>
        <v>0</v>
      </c>
      <c r="X108" s="294">
        <f t="shared" si="26"/>
        <v>0</v>
      </c>
      <c r="Y108" s="295">
        <f t="shared" si="32"/>
        <v>0</v>
      </c>
      <c r="Z108" s="149"/>
      <c r="AA108" s="149"/>
      <c r="AB108" s="149"/>
    </row>
    <row r="109" spans="1:28" ht="15" customHeight="1">
      <c r="A109" s="240">
        <f t="shared" si="34"/>
        <v>69</v>
      </c>
      <c r="B109" s="241"/>
      <c r="C109" s="292"/>
      <c r="D109" s="242"/>
      <c r="E109" s="292"/>
      <c r="F109" s="604"/>
      <c r="G109" s="607">
        <f>IFERROR(INDEX(【様式３】シフト表!$AK$7:$AK$106,MATCH($O109,【様式３】シフト表!$B$7:$B$106,0),1),0)</f>
        <v>0</v>
      </c>
      <c r="H109" s="162"/>
      <c r="I109" s="243"/>
      <c r="J109" s="610" t="str">
        <f t="shared" si="33"/>
        <v>-</v>
      </c>
      <c r="K109" s="1179"/>
      <c r="L109" s="401"/>
      <c r="M109" s="244" t="b">
        <f t="shared" si="27"/>
        <v>0</v>
      </c>
      <c r="N109" s="496" t="b">
        <f>AND($N$38,C109=$N$39,M109,COUNTIF($N$40:$N108,TRUE)=0)</f>
        <v>0</v>
      </c>
      <c r="O109" s="245">
        <f>IF($E109&lt;&gt;$O$38,0,COUNTIF($E$41:E109,$O$38))</f>
        <v>0</v>
      </c>
      <c r="P109" s="245" t="e">
        <f t="shared" si="28"/>
        <v>#VALUE!</v>
      </c>
      <c r="Q109" s="246" t="b">
        <f t="shared" si="29"/>
        <v>1</v>
      </c>
      <c r="R109" s="374"/>
      <c r="S109" s="293">
        <f t="shared" si="30"/>
        <v>0</v>
      </c>
      <c r="T109" s="248">
        <f t="shared" si="31"/>
        <v>0</v>
      </c>
      <c r="U109" s="293">
        <f t="shared" si="26"/>
        <v>0</v>
      </c>
      <c r="V109" s="248">
        <f t="shared" si="26"/>
        <v>0</v>
      </c>
      <c r="W109" s="248">
        <f t="shared" si="26"/>
        <v>0</v>
      </c>
      <c r="X109" s="294">
        <f t="shared" si="26"/>
        <v>0</v>
      </c>
      <c r="Y109" s="295">
        <f t="shared" si="32"/>
        <v>0</v>
      </c>
      <c r="Z109" s="149"/>
      <c r="AA109" s="149"/>
      <c r="AB109" s="149"/>
    </row>
    <row r="110" spans="1:28" ht="15" customHeight="1">
      <c r="A110" s="240">
        <f t="shared" si="34"/>
        <v>70</v>
      </c>
      <c r="B110" s="241"/>
      <c r="C110" s="292"/>
      <c r="D110" s="242"/>
      <c r="E110" s="292"/>
      <c r="F110" s="604"/>
      <c r="G110" s="607">
        <f>IFERROR(INDEX(【様式３】シフト表!$AK$7:$AK$106,MATCH($O110,【様式３】シフト表!$B$7:$B$106,0),1),0)</f>
        <v>0</v>
      </c>
      <c r="H110" s="162"/>
      <c r="I110" s="243"/>
      <c r="J110" s="610" t="str">
        <f t="shared" si="33"/>
        <v>-</v>
      </c>
      <c r="K110" s="1179"/>
      <c r="L110" s="401"/>
      <c r="M110" s="244" t="b">
        <f t="shared" si="27"/>
        <v>0</v>
      </c>
      <c r="N110" s="496" t="b">
        <f>AND($N$38,C110=$N$39,M110,COUNTIF($N$40:$N109,TRUE)=0)</f>
        <v>0</v>
      </c>
      <c r="O110" s="245">
        <f>IF($E110&lt;&gt;$O$38,0,COUNTIF($E$41:E110,$O$38))</f>
        <v>0</v>
      </c>
      <c r="P110" s="245" t="e">
        <f t="shared" si="28"/>
        <v>#VALUE!</v>
      </c>
      <c r="Q110" s="246" t="b">
        <f t="shared" si="29"/>
        <v>1</v>
      </c>
      <c r="R110" s="374"/>
      <c r="S110" s="293">
        <f t="shared" si="30"/>
        <v>0</v>
      </c>
      <c r="T110" s="248">
        <f t="shared" si="31"/>
        <v>0</v>
      </c>
      <c r="U110" s="293">
        <f t="shared" si="26"/>
        <v>0</v>
      </c>
      <c r="V110" s="248">
        <f t="shared" si="26"/>
        <v>0</v>
      </c>
      <c r="W110" s="248">
        <f t="shared" si="26"/>
        <v>0</v>
      </c>
      <c r="X110" s="294">
        <f t="shared" si="26"/>
        <v>0</v>
      </c>
      <c r="Y110" s="295">
        <f t="shared" si="32"/>
        <v>0</v>
      </c>
      <c r="Z110" s="149"/>
      <c r="AA110" s="149"/>
      <c r="AB110" s="149"/>
    </row>
    <row r="111" spans="1:28" ht="15" customHeight="1">
      <c r="A111" s="240">
        <f t="shared" si="34"/>
        <v>71</v>
      </c>
      <c r="B111" s="241"/>
      <c r="C111" s="292"/>
      <c r="D111" s="242"/>
      <c r="E111" s="292"/>
      <c r="F111" s="604"/>
      <c r="G111" s="607">
        <f>IFERROR(INDEX(【様式３】シフト表!$AK$7:$AK$106,MATCH($O111,【様式３】シフト表!$B$7:$B$106,0),1),0)</f>
        <v>0</v>
      </c>
      <c r="H111" s="162"/>
      <c r="I111" s="243"/>
      <c r="J111" s="610" t="str">
        <f t="shared" si="33"/>
        <v>-</v>
      </c>
      <c r="K111" s="1179"/>
      <c r="L111" s="401"/>
      <c r="M111" s="244" t="b">
        <f t="shared" si="27"/>
        <v>0</v>
      </c>
      <c r="N111" s="496" t="b">
        <f>AND($N$38,C111=$N$39,M111,COUNTIF($N$40:$N110,TRUE)=0)</f>
        <v>0</v>
      </c>
      <c r="O111" s="245">
        <f>IF($E111&lt;&gt;$O$38,0,COUNTIF($E$41:E111,$O$38))</f>
        <v>0</v>
      </c>
      <c r="P111" s="245" t="e">
        <f t="shared" si="28"/>
        <v>#VALUE!</v>
      </c>
      <c r="Q111" s="246" t="b">
        <f t="shared" si="29"/>
        <v>1</v>
      </c>
      <c r="R111" s="374"/>
      <c r="S111" s="293">
        <f t="shared" si="30"/>
        <v>0</v>
      </c>
      <c r="T111" s="248">
        <f t="shared" si="31"/>
        <v>0</v>
      </c>
      <c r="U111" s="293">
        <f t="shared" si="26"/>
        <v>0</v>
      </c>
      <c r="V111" s="248">
        <f t="shared" si="26"/>
        <v>0</v>
      </c>
      <c r="W111" s="248">
        <f t="shared" si="26"/>
        <v>0</v>
      </c>
      <c r="X111" s="294">
        <f t="shared" si="26"/>
        <v>0</v>
      </c>
      <c r="Y111" s="295">
        <f t="shared" si="32"/>
        <v>0</v>
      </c>
      <c r="Z111" s="149"/>
      <c r="AA111" s="149"/>
      <c r="AB111" s="149"/>
    </row>
    <row r="112" spans="1:28" ht="15" customHeight="1">
      <c r="A112" s="240">
        <f t="shared" si="34"/>
        <v>72</v>
      </c>
      <c r="B112" s="241"/>
      <c r="C112" s="292"/>
      <c r="D112" s="242"/>
      <c r="E112" s="292"/>
      <c r="F112" s="604"/>
      <c r="G112" s="607">
        <f>IFERROR(INDEX(【様式３】シフト表!$AK$7:$AK$106,MATCH($O112,【様式３】シフト表!$B$7:$B$106,0),1),0)</f>
        <v>0</v>
      </c>
      <c r="H112" s="162"/>
      <c r="I112" s="243"/>
      <c r="J112" s="610" t="str">
        <f t="shared" si="33"/>
        <v>-</v>
      </c>
      <c r="K112" s="1179"/>
      <c r="L112" s="401"/>
      <c r="M112" s="244" t="b">
        <f t="shared" si="27"/>
        <v>0</v>
      </c>
      <c r="N112" s="496" t="b">
        <f>AND($N$38,C112=$N$39,M112,COUNTIF($N$40:$N111,TRUE)=0)</f>
        <v>0</v>
      </c>
      <c r="O112" s="245">
        <f>IF($E112&lt;&gt;$O$38,0,COUNTIF($E$41:E112,$O$38))</f>
        <v>0</v>
      </c>
      <c r="P112" s="245" t="e">
        <f t="shared" si="28"/>
        <v>#VALUE!</v>
      </c>
      <c r="Q112" s="246" t="b">
        <f t="shared" si="29"/>
        <v>1</v>
      </c>
      <c r="R112" s="374"/>
      <c r="S112" s="293">
        <f t="shared" si="30"/>
        <v>0</v>
      </c>
      <c r="T112" s="248">
        <f t="shared" si="31"/>
        <v>0</v>
      </c>
      <c r="U112" s="293">
        <f t="shared" si="26"/>
        <v>0</v>
      </c>
      <c r="V112" s="248">
        <f t="shared" si="26"/>
        <v>0</v>
      </c>
      <c r="W112" s="248">
        <f t="shared" si="26"/>
        <v>0</v>
      </c>
      <c r="X112" s="294">
        <f t="shared" si="26"/>
        <v>0</v>
      </c>
      <c r="Y112" s="295">
        <f t="shared" si="32"/>
        <v>0</v>
      </c>
      <c r="Z112" s="149"/>
      <c r="AA112" s="149"/>
      <c r="AB112" s="149"/>
    </row>
    <row r="113" spans="1:28" ht="15" customHeight="1">
      <c r="A113" s="240">
        <f t="shared" si="34"/>
        <v>73</v>
      </c>
      <c r="B113" s="241"/>
      <c r="C113" s="292"/>
      <c r="D113" s="242"/>
      <c r="E113" s="292"/>
      <c r="F113" s="604"/>
      <c r="G113" s="607">
        <f>IFERROR(INDEX(【様式３】シフト表!$AK$7:$AK$106,MATCH($O113,【様式３】シフト表!$B$7:$B$106,0),1),0)</f>
        <v>0</v>
      </c>
      <c r="H113" s="162"/>
      <c r="I113" s="243"/>
      <c r="J113" s="610" t="str">
        <f t="shared" si="33"/>
        <v>-</v>
      </c>
      <c r="K113" s="1179"/>
      <c r="L113" s="401"/>
      <c r="M113" s="244" t="b">
        <f t="shared" si="27"/>
        <v>0</v>
      </c>
      <c r="N113" s="496" t="b">
        <f>AND($N$38,C113=$N$39,M113,COUNTIF($N$40:$N112,TRUE)=0)</f>
        <v>0</v>
      </c>
      <c r="O113" s="245">
        <f>IF($E113&lt;&gt;$O$38,0,COUNTIF($E$41:E113,$O$38))</f>
        <v>0</v>
      </c>
      <c r="P113" s="245" t="e">
        <f t="shared" si="28"/>
        <v>#VALUE!</v>
      </c>
      <c r="Q113" s="246" t="b">
        <f t="shared" si="29"/>
        <v>1</v>
      </c>
      <c r="R113" s="374"/>
      <c r="S113" s="293">
        <f t="shared" si="30"/>
        <v>0</v>
      </c>
      <c r="T113" s="248">
        <f t="shared" si="31"/>
        <v>0</v>
      </c>
      <c r="U113" s="293">
        <f t="shared" si="26"/>
        <v>0</v>
      </c>
      <c r="V113" s="248">
        <f t="shared" si="26"/>
        <v>0</v>
      </c>
      <c r="W113" s="248">
        <f t="shared" si="26"/>
        <v>0</v>
      </c>
      <c r="X113" s="294">
        <f t="shared" si="26"/>
        <v>0</v>
      </c>
      <c r="Y113" s="295">
        <f t="shared" si="32"/>
        <v>0</v>
      </c>
      <c r="Z113" s="149"/>
      <c r="AA113" s="149"/>
      <c r="AB113" s="149"/>
    </row>
    <row r="114" spans="1:28" ht="15" customHeight="1">
      <c r="A114" s="240">
        <f t="shared" si="34"/>
        <v>74</v>
      </c>
      <c r="B114" s="241"/>
      <c r="C114" s="292"/>
      <c r="D114" s="242"/>
      <c r="E114" s="292"/>
      <c r="F114" s="604"/>
      <c r="G114" s="607">
        <f>IFERROR(INDEX(【様式３】シフト表!$AK$7:$AK$106,MATCH($O114,【様式３】シフト表!$B$7:$B$106,0),1),0)</f>
        <v>0</v>
      </c>
      <c r="H114" s="162"/>
      <c r="I114" s="243"/>
      <c r="J114" s="610" t="str">
        <f t="shared" si="33"/>
        <v>-</v>
      </c>
      <c r="K114" s="1179"/>
      <c r="L114" s="401"/>
      <c r="M114" s="244" t="b">
        <f t="shared" si="27"/>
        <v>0</v>
      </c>
      <c r="N114" s="496" t="b">
        <f>AND($N$38,C114=$N$39,M114,COUNTIF($N$40:$N113,TRUE)=0)</f>
        <v>0</v>
      </c>
      <c r="O114" s="245">
        <f>IF($E114&lt;&gt;$O$38,0,COUNTIF($E$41:E114,$O$38))</f>
        <v>0</v>
      </c>
      <c r="P114" s="245" t="e">
        <f t="shared" si="28"/>
        <v>#VALUE!</v>
      </c>
      <c r="Q114" s="246" t="b">
        <f t="shared" si="29"/>
        <v>1</v>
      </c>
      <c r="R114" s="374"/>
      <c r="S114" s="293">
        <f t="shared" si="30"/>
        <v>0</v>
      </c>
      <c r="T114" s="248">
        <f t="shared" si="31"/>
        <v>0</v>
      </c>
      <c r="U114" s="293">
        <f t="shared" si="26"/>
        <v>0</v>
      </c>
      <c r="V114" s="248">
        <f t="shared" si="26"/>
        <v>0</v>
      </c>
      <c r="W114" s="248">
        <f t="shared" si="26"/>
        <v>0</v>
      </c>
      <c r="X114" s="294">
        <f t="shared" si="26"/>
        <v>0</v>
      </c>
      <c r="Y114" s="295">
        <f t="shared" si="32"/>
        <v>0</v>
      </c>
      <c r="Z114" s="149"/>
      <c r="AA114" s="149"/>
      <c r="AB114" s="149"/>
    </row>
    <row r="115" spans="1:28" ht="15" customHeight="1">
      <c r="A115" s="240">
        <f t="shared" si="34"/>
        <v>75</v>
      </c>
      <c r="B115" s="241"/>
      <c r="C115" s="292"/>
      <c r="D115" s="242"/>
      <c r="E115" s="292"/>
      <c r="F115" s="604"/>
      <c r="G115" s="607">
        <f>IFERROR(INDEX(【様式３】シフト表!$AK$7:$AK$106,MATCH($O115,【様式３】シフト表!$B$7:$B$106,0),1),0)</f>
        <v>0</v>
      </c>
      <c r="H115" s="162"/>
      <c r="I115" s="243"/>
      <c r="J115" s="610" t="str">
        <f t="shared" si="33"/>
        <v>-</v>
      </c>
      <c r="K115" s="1179"/>
      <c r="L115" s="401"/>
      <c r="M115" s="244" t="b">
        <f t="shared" si="27"/>
        <v>0</v>
      </c>
      <c r="N115" s="496" t="b">
        <f>AND($N$38,C115=$N$39,M115,COUNTIF($N$40:$N114,TRUE)=0)</f>
        <v>0</v>
      </c>
      <c r="O115" s="245">
        <f>IF($E115&lt;&gt;$O$38,0,COUNTIF($E$41:E115,$O$38))</f>
        <v>0</v>
      </c>
      <c r="P115" s="245" t="e">
        <f t="shared" si="28"/>
        <v>#VALUE!</v>
      </c>
      <c r="Q115" s="246" t="b">
        <f t="shared" si="29"/>
        <v>1</v>
      </c>
      <c r="R115" s="374"/>
      <c r="S115" s="293">
        <f t="shared" si="30"/>
        <v>0</v>
      </c>
      <c r="T115" s="248">
        <f t="shared" si="31"/>
        <v>0</v>
      </c>
      <c r="U115" s="293">
        <f t="shared" si="26"/>
        <v>0</v>
      </c>
      <c r="V115" s="248">
        <f t="shared" si="26"/>
        <v>0</v>
      </c>
      <c r="W115" s="248">
        <f t="shared" si="26"/>
        <v>0</v>
      </c>
      <c r="X115" s="294">
        <f t="shared" si="26"/>
        <v>0</v>
      </c>
      <c r="Y115" s="295">
        <f t="shared" si="32"/>
        <v>0</v>
      </c>
      <c r="Z115" s="149"/>
      <c r="AA115" s="149"/>
      <c r="AB115" s="149"/>
    </row>
    <row r="116" spans="1:28" ht="15" customHeight="1">
      <c r="A116" s="240">
        <f t="shared" si="34"/>
        <v>76</v>
      </c>
      <c r="B116" s="241"/>
      <c r="C116" s="292"/>
      <c r="D116" s="242"/>
      <c r="E116" s="292"/>
      <c r="F116" s="604"/>
      <c r="G116" s="607">
        <f>IFERROR(INDEX(【様式３】シフト表!$AK$7:$AK$106,MATCH($O116,【様式３】シフト表!$B$7:$B$106,0),1),0)</f>
        <v>0</v>
      </c>
      <c r="H116" s="162"/>
      <c r="I116" s="243"/>
      <c r="J116" s="610" t="str">
        <f t="shared" si="33"/>
        <v>-</v>
      </c>
      <c r="K116" s="1179"/>
      <c r="L116" s="401"/>
      <c r="M116" s="244" t="b">
        <f t="shared" si="27"/>
        <v>0</v>
      </c>
      <c r="N116" s="496" t="b">
        <f>AND($N$38,C116=$N$39,M116,COUNTIF($N$40:$N115,TRUE)=0)</f>
        <v>0</v>
      </c>
      <c r="O116" s="245">
        <f>IF($E116&lt;&gt;$O$38,0,COUNTIF($E$41:E116,$O$38))</f>
        <v>0</v>
      </c>
      <c r="P116" s="245" t="e">
        <f t="shared" si="28"/>
        <v>#VALUE!</v>
      </c>
      <c r="Q116" s="246" t="b">
        <f t="shared" si="29"/>
        <v>1</v>
      </c>
      <c r="R116" s="374"/>
      <c r="S116" s="293">
        <f t="shared" si="30"/>
        <v>0</v>
      </c>
      <c r="T116" s="248">
        <f t="shared" si="31"/>
        <v>0</v>
      </c>
      <c r="U116" s="293">
        <f t="shared" si="26"/>
        <v>0</v>
      </c>
      <c r="V116" s="248">
        <f t="shared" si="26"/>
        <v>0</v>
      </c>
      <c r="W116" s="248">
        <f t="shared" si="26"/>
        <v>0</v>
      </c>
      <c r="X116" s="294">
        <f t="shared" si="26"/>
        <v>0</v>
      </c>
      <c r="Y116" s="295">
        <f t="shared" si="32"/>
        <v>0</v>
      </c>
      <c r="Z116" s="149"/>
      <c r="AA116" s="149"/>
      <c r="AB116" s="149"/>
    </row>
    <row r="117" spans="1:28" ht="15" customHeight="1">
      <c r="A117" s="240">
        <f t="shared" si="34"/>
        <v>77</v>
      </c>
      <c r="B117" s="241"/>
      <c r="C117" s="292"/>
      <c r="D117" s="242"/>
      <c r="E117" s="292"/>
      <c r="F117" s="604"/>
      <c r="G117" s="607">
        <f>IFERROR(INDEX(【様式３】シフト表!$AK$7:$AK$106,MATCH($O117,【様式３】シフト表!$B$7:$B$106,0),1),0)</f>
        <v>0</v>
      </c>
      <c r="H117" s="162"/>
      <c r="I117" s="243"/>
      <c r="J117" s="610" t="str">
        <f t="shared" si="33"/>
        <v>-</v>
      </c>
      <c r="K117" s="1179"/>
      <c r="L117" s="401"/>
      <c r="M117" s="244" t="b">
        <f t="shared" si="27"/>
        <v>0</v>
      </c>
      <c r="N117" s="496" t="b">
        <f>AND($N$38,C117=$N$39,M117,COUNTIF($N$40:$N116,TRUE)=0)</f>
        <v>0</v>
      </c>
      <c r="O117" s="245">
        <f>IF($E117&lt;&gt;$O$38,0,COUNTIF($E$41:E117,$O$38))</f>
        <v>0</v>
      </c>
      <c r="P117" s="245" t="e">
        <f t="shared" si="28"/>
        <v>#VALUE!</v>
      </c>
      <c r="Q117" s="246" t="b">
        <f t="shared" si="29"/>
        <v>1</v>
      </c>
      <c r="R117" s="374"/>
      <c r="S117" s="293">
        <f t="shared" si="30"/>
        <v>0</v>
      </c>
      <c r="T117" s="248">
        <f t="shared" si="31"/>
        <v>0</v>
      </c>
      <c r="U117" s="293">
        <f t="shared" si="26"/>
        <v>0</v>
      </c>
      <c r="V117" s="248">
        <f t="shared" si="26"/>
        <v>0</v>
      </c>
      <c r="W117" s="248">
        <f t="shared" si="26"/>
        <v>0</v>
      </c>
      <c r="X117" s="294">
        <f t="shared" si="26"/>
        <v>0</v>
      </c>
      <c r="Y117" s="295">
        <f t="shared" si="32"/>
        <v>0</v>
      </c>
      <c r="Z117" s="149"/>
      <c r="AA117" s="149"/>
      <c r="AB117" s="149"/>
    </row>
    <row r="118" spans="1:28" ht="15" customHeight="1">
      <c r="A118" s="240">
        <f t="shared" si="34"/>
        <v>78</v>
      </c>
      <c r="B118" s="241"/>
      <c r="C118" s="292"/>
      <c r="D118" s="242"/>
      <c r="E118" s="292"/>
      <c r="F118" s="604"/>
      <c r="G118" s="607">
        <f>IFERROR(INDEX(【様式３】シフト表!$AK$7:$AK$106,MATCH($O118,【様式３】シフト表!$B$7:$B$106,0),1),0)</f>
        <v>0</v>
      </c>
      <c r="H118" s="162"/>
      <c r="I118" s="243"/>
      <c r="J118" s="610" t="str">
        <f t="shared" si="33"/>
        <v>-</v>
      </c>
      <c r="K118" s="1179"/>
      <c r="L118" s="401"/>
      <c r="M118" s="244" t="b">
        <f t="shared" si="27"/>
        <v>0</v>
      </c>
      <c r="N118" s="496" t="b">
        <f>AND($N$38,C118=$N$39,M118,COUNTIF($N$40:$N117,TRUE)=0)</f>
        <v>0</v>
      </c>
      <c r="O118" s="245">
        <f>IF($E118&lt;&gt;$O$38,0,COUNTIF($E$41:E118,$O$38))</f>
        <v>0</v>
      </c>
      <c r="P118" s="245" t="e">
        <f t="shared" si="28"/>
        <v>#VALUE!</v>
      </c>
      <c r="Q118" s="246" t="b">
        <f t="shared" si="29"/>
        <v>1</v>
      </c>
      <c r="R118" s="374"/>
      <c r="S118" s="293">
        <f t="shared" si="30"/>
        <v>0</v>
      </c>
      <c r="T118" s="248">
        <f t="shared" si="31"/>
        <v>0</v>
      </c>
      <c r="U118" s="293">
        <f t="shared" si="26"/>
        <v>0</v>
      </c>
      <c r="V118" s="248">
        <f t="shared" si="26"/>
        <v>0</v>
      </c>
      <c r="W118" s="248">
        <f t="shared" si="26"/>
        <v>0</v>
      </c>
      <c r="X118" s="294">
        <f t="shared" si="26"/>
        <v>0</v>
      </c>
      <c r="Y118" s="295">
        <f t="shared" si="32"/>
        <v>0</v>
      </c>
      <c r="Z118" s="149"/>
      <c r="AA118" s="149"/>
      <c r="AB118" s="149"/>
    </row>
    <row r="119" spans="1:28" ht="15" customHeight="1">
      <c r="A119" s="240">
        <f t="shared" si="34"/>
        <v>79</v>
      </c>
      <c r="B119" s="241"/>
      <c r="C119" s="292"/>
      <c r="D119" s="242"/>
      <c r="E119" s="292"/>
      <c r="F119" s="604"/>
      <c r="G119" s="607">
        <f>IFERROR(INDEX(【様式３】シフト表!$AK$7:$AK$106,MATCH($O119,【様式３】シフト表!$B$7:$B$106,0),1),0)</f>
        <v>0</v>
      </c>
      <c r="H119" s="162"/>
      <c r="I119" s="243"/>
      <c r="J119" s="610" t="str">
        <f t="shared" si="33"/>
        <v>-</v>
      </c>
      <c r="K119" s="1179"/>
      <c r="L119" s="401"/>
      <c r="M119" s="244" t="b">
        <f t="shared" si="27"/>
        <v>0</v>
      </c>
      <c r="N119" s="496" t="b">
        <f>AND($N$38,C119=$N$39,M119,COUNTIF($N$40:$N118,TRUE)=0)</f>
        <v>0</v>
      </c>
      <c r="O119" s="245">
        <f>IF($E119&lt;&gt;$O$38,0,COUNTIF($E$41:E119,$O$38))</f>
        <v>0</v>
      </c>
      <c r="P119" s="245" t="e">
        <f t="shared" si="28"/>
        <v>#VALUE!</v>
      </c>
      <c r="Q119" s="246" t="b">
        <f t="shared" si="29"/>
        <v>1</v>
      </c>
      <c r="R119" s="374"/>
      <c r="S119" s="293">
        <f t="shared" si="30"/>
        <v>0</v>
      </c>
      <c r="T119" s="248">
        <f t="shared" si="31"/>
        <v>0</v>
      </c>
      <c r="U119" s="293">
        <f t="shared" si="26"/>
        <v>0</v>
      </c>
      <c r="V119" s="248">
        <f t="shared" si="26"/>
        <v>0</v>
      </c>
      <c r="W119" s="248">
        <f t="shared" si="26"/>
        <v>0</v>
      </c>
      <c r="X119" s="294">
        <f t="shared" si="26"/>
        <v>0</v>
      </c>
      <c r="Y119" s="295">
        <f t="shared" si="32"/>
        <v>0</v>
      </c>
      <c r="Z119" s="149"/>
      <c r="AA119" s="149"/>
      <c r="AB119" s="149"/>
    </row>
    <row r="120" spans="1:28" ht="15" customHeight="1">
      <c r="A120" s="240">
        <f t="shared" si="34"/>
        <v>80</v>
      </c>
      <c r="B120" s="241"/>
      <c r="C120" s="292"/>
      <c r="D120" s="242"/>
      <c r="E120" s="292"/>
      <c r="F120" s="604"/>
      <c r="G120" s="607">
        <f>IFERROR(INDEX(【様式３】シフト表!$AK$7:$AK$106,MATCH($O120,【様式３】シフト表!$B$7:$B$106,0),1),0)</f>
        <v>0</v>
      </c>
      <c r="H120" s="162"/>
      <c r="I120" s="243"/>
      <c r="J120" s="610" t="str">
        <f t="shared" si="33"/>
        <v>-</v>
      </c>
      <c r="K120" s="1179"/>
      <c r="L120" s="401"/>
      <c r="M120" s="244" t="b">
        <f t="shared" si="27"/>
        <v>0</v>
      </c>
      <c r="N120" s="496" t="b">
        <f>AND($N$38,C120=$N$39,M120,COUNTIF($N$40:$N119,TRUE)=0)</f>
        <v>0</v>
      </c>
      <c r="O120" s="245">
        <f>IF($E120&lt;&gt;$O$38,0,COUNTIF($E$41:E120,$O$38))</f>
        <v>0</v>
      </c>
      <c r="P120" s="245" t="e">
        <f t="shared" si="28"/>
        <v>#VALUE!</v>
      </c>
      <c r="Q120" s="246" t="b">
        <f t="shared" si="29"/>
        <v>1</v>
      </c>
      <c r="R120" s="374"/>
      <c r="S120" s="293">
        <f t="shared" si="30"/>
        <v>0</v>
      </c>
      <c r="T120" s="248">
        <f t="shared" si="31"/>
        <v>0</v>
      </c>
      <c r="U120" s="293">
        <f t="shared" si="26"/>
        <v>0</v>
      </c>
      <c r="V120" s="248">
        <f t="shared" si="26"/>
        <v>0</v>
      </c>
      <c r="W120" s="248">
        <f t="shared" si="26"/>
        <v>0</v>
      </c>
      <c r="X120" s="294">
        <f t="shared" si="26"/>
        <v>0</v>
      </c>
      <c r="Y120" s="295">
        <f t="shared" si="32"/>
        <v>0</v>
      </c>
      <c r="Z120" s="149"/>
      <c r="AA120" s="149"/>
      <c r="AB120" s="149"/>
    </row>
    <row r="121" spans="1:28" ht="15" customHeight="1">
      <c r="A121" s="240">
        <f t="shared" si="34"/>
        <v>81</v>
      </c>
      <c r="B121" s="241"/>
      <c r="C121" s="292"/>
      <c r="D121" s="242"/>
      <c r="E121" s="292"/>
      <c r="F121" s="604"/>
      <c r="G121" s="607">
        <f>IFERROR(INDEX(【様式３】シフト表!$AK$7:$AK$106,MATCH($O121,【様式３】シフト表!$B$7:$B$106,0),1),0)</f>
        <v>0</v>
      </c>
      <c r="H121" s="162"/>
      <c r="I121" s="243"/>
      <c r="J121" s="610" t="str">
        <f t="shared" si="33"/>
        <v>-</v>
      </c>
      <c r="K121" s="1179"/>
      <c r="L121" s="401"/>
      <c r="M121" s="244" t="b">
        <f t="shared" si="27"/>
        <v>0</v>
      </c>
      <c r="N121" s="496" t="b">
        <f>AND($N$38,C121=$N$39,M121,COUNTIF($N$40:$N120,TRUE)=0)</f>
        <v>0</v>
      </c>
      <c r="O121" s="245">
        <f>IF($E121&lt;&gt;$O$38,0,COUNTIF($E$41:E121,$O$38))</f>
        <v>0</v>
      </c>
      <c r="P121" s="245" t="e">
        <f t="shared" si="28"/>
        <v>#VALUE!</v>
      </c>
      <c r="Q121" s="246" t="b">
        <f t="shared" si="29"/>
        <v>1</v>
      </c>
      <c r="R121" s="374"/>
      <c r="S121" s="293">
        <f t="shared" si="30"/>
        <v>0</v>
      </c>
      <c r="T121" s="248">
        <f t="shared" si="31"/>
        <v>0</v>
      </c>
      <c r="U121" s="293">
        <f t="shared" ref="U121:X140" si="35">IF(AND($E121=U$37,$F121=U$38),$J121,0)</f>
        <v>0</v>
      </c>
      <c r="V121" s="248">
        <f t="shared" si="35"/>
        <v>0</v>
      </c>
      <c r="W121" s="248">
        <f t="shared" si="35"/>
        <v>0</v>
      </c>
      <c r="X121" s="294">
        <f t="shared" si="35"/>
        <v>0</v>
      </c>
      <c r="Y121" s="295">
        <f t="shared" si="32"/>
        <v>0</v>
      </c>
      <c r="Z121" s="149"/>
      <c r="AA121" s="149"/>
      <c r="AB121" s="149"/>
    </row>
    <row r="122" spans="1:28" ht="15" customHeight="1">
      <c r="A122" s="240">
        <f t="shared" si="34"/>
        <v>82</v>
      </c>
      <c r="B122" s="241"/>
      <c r="C122" s="292"/>
      <c r="D122" s="242"/>
      <c r="E122" s="292"/>
      <c r="F122" s="604"/>
      <c r="G122" s="607">
        <f>IFERROR(INDEX(【様式３】シフト表!$AK$7:$AK$106,MATCH($O122,【様式３】シフト表!$B$7:$B$106,0),1),0)</f>
        <v>0</v>
      </c>
      <c r="H122" s="162"/>
      <c r="I122" s="243"/>
      <c r="J122" s="610" t="str">
        <f t="shared" si="33"/>
        <v>-</v>
      </c>
      <c r="K122" s="1179"/>
      <c r="L122" s="401"/>
      <c r="M122" s="244" t="b">
        <f t="shared" si="27"/>
        <v>0</v>
      </c>
      <c r="N122" s="496" t="b">
        <f>AND($N$38,C122=$N$39,M122,COUNTIF($N$40:$N121,TRUE)=0)</f>
        <v>0</v>
      </c>
      <c r="O122" s="245">
        <f>IF($E122&lt;&gt;$O$38,0,COUNTIF($E$41:E122,$O$38))</f>
        <v>0</v>
      </c>
      <c r="P122" s="245" t="e">
        <f t="shared" si="28"/>
        <v>#VALUE!</v>
      </c>
      <c r="Q122" s="246" t="b">
        <f t="shared" si="29"/>
        <v>1</v>
      </c>
      <c r="R122" s="374"/>
      <c r="S122" s="293">
        <f t="shared" si="30"/>
        <v>0</v>
      </c>
      <c r="T122" s="248">
        <f t="shared" si="31"/>
        <v>0</v>
      </c>
      <c r="U122" s="293">
        <f t="shared" si="35"/>
        <v>0</v>
      </c>
      <c r="V122" s="248">
        <f t="shared" si="35"/>
        <v>0</v>
      </c>
      <c r="W122" s="248">
        <f t="shared" si="35"/>
        <v>0</v>
      </c>
      <c r="X122" s="294">
        <f t="shared" si="35"/>
        <v>0</v>
      </c>
      <c r="Y122" s="295">
        <f t="shared" si="32"/>
        <v>0</v>
      </c>
      <c r="Z122" s="149"/>
      <c r="AA122" s="149"/>
      <c r="AB122" s="149"/>
    </row>
    <row r="123" spans="1:28" ht="15" customHeight="1">
      <c r="A123" s="240">
        <f t="shared" si="34"/>
        <v>83</v>
      </c>
      <c r="B123" s="241"/>
      <c r="C123" s="292"/>
      <c r="D123" s="242"/>
      <c r="E123" s="292"/>
      <c r="F123" s="604"/>
      <c r="G123" s="607">
        <f>IFERROR(INDEX(【様式３】シフト表!$AK$7:$AK$106,MATCH($O123,【様式３】シフト表!$B$7:$B$106,0),1),0)</f>
        <v>0</v>
      </c>
      <c r="H123" s="162"/>
      <c r="I123" s="243"/>
      <c r="J123" s="610" t="str">
        <f t="shared" si="33"/>
        <v>-</v>
      </c>
      <c r="K123" s="1179"/>
      <c r="L123" s="401"/>
      <c r="M123" s="244" t="b">
        <f t="shared" si="27"/>
        <v>0</v>
      </c>
      <c r="N123" s="496" t="b">
        <f>AND($N$38,C123=$N$39,M123,COUNTIF($N$40:$N122,TRUE)=0)</f>
        <v>0</v>
      </c>
      <c r="O123" s="245">
        <f>IF($E123&lt;&gt;$O$38,0,COUNTIF($E$41:E123,$O$38))</f>
        <v>0</v>
      </c>
      <c r="P123" s="245" t="e">
        <f t="shared" si="28"/>
        <v>#VALUE!</v>
      </c>
      <c r="Q123" s="246" t="b">
        <f t="shared" si="29"/>
        <v>1</v>
      </c>
      <c r="R123" s="374"/>
      <c r="S123" s="293">
        <f t="shared" si="30"/>
        <v>0</v>
      </c>
      <c r="T123" s="248">
        <f t="shared" si="31"/>
        <v>0</v>
      </c>
      <c r="U123" s="293">
        <f t="shared" si="35"/>
        <v>0</v>
      </c>
      <c r="V123" s="248">
        <f t="shared" si="35"/>
        <v>0</v>
      </c>
      <c r="W123" s="248">
        <f t="shared" si="35"/>
        <v>0</v>
      </c>
      <c r="X123" s="294">
        <f t="shared" si="35"/>
        <v>0</v>
      </c>
      <c r="Y123" s="295">
        <f t="shared" si="32"/>
        <v>0</v>
      </c>
      <c r="Z123" s="149"/>
      <c r="AA123" s="149"/>
      <c r="AB123" s="149"/>
    </row>
    <row r="124" spans="1:28" ht="15" customHeight="1">
      <c r="A124" s="240">
        <f t="shared" si="34"/>
        <v>84</v>
      </c>
      <c r="B124" s="241"/>
      <c r="C124" s="292"/>
      <c r="D124" s="242"/>
      <c r="E124" s="292"/>
      <c r="F124" s="604"/>
      <c r="G124" s="607">
        <f>IFERROR(INDEX(【様式３】シフト表!$AK$7:$AK$106,MATCH($O124,【様式３】シフト表!$B$7:$B$106,0),1),0)</f>
        <v>0</v>
      </c>
      <c r="H124" s="162"/>
      <c r="I124" s="243"/>
      <c r="J124" s="610" t="str">
        <f t="shared" si="33"/>
        <v>-</v>
      </c>
      <c r="K124" s="1179"/>
      <c r="L124" s="401"/>
      <c r="M124" s="244" t="b">
        <f t="shared" si="27"/>
        <v>0</v>
      </c>
      <c r="N124" s="496" t="b">
        <f>AND($N$38,C124=$N$39,M124,COUNTIF($N$40:$N123,TRUE)=0)</f>
        <v>0</v>
      </c>
      <c r="O124" s="245">
        <f>IF($E124&lt;&gt;$O$38,0,COUNTIF($E$41:E124,$O$38))</f>
        <v>0</v>
      </c>
      <c r="P124" s="245" t="e">
        <f t="shared" si="28"/>
        <v>#VALUE!</v>
      </c>
      <c r="Q124" s="246" t="b">
        <f t="shared" si="29"/>
        <v>1</v>
      </c>
      <c r="R124" s="374"/>
      <c r="S124" s="293">
        <f t="shared" si="30"/>
        <v>0</v>
      </c>
      <c r="T124" s="248">
        <f t="shared" si="31"/>
        <v>0</v>
      </c>
      <c r="U124" s="293">
        <f t="shared" si="35"/>
        <v>0</v>
      </c>
      <c r="V124" s="248">
        <f t="shared" si="35"/>
        <v>0</v>
      </c>
      <c r="W124" s="248">
        <f t="shared" si="35"/>
        <v>0</v>
      </c>
      <c r="X124" s="294">
        <f t="shared" si="35"/>
        <v>0</v>
      </c>
      <c r="Y124" s="295">
        <f t="shared" si="32"/>
        <v>0</v>
      </c>
      <c r="Z124" s="149"/>
      <c r="AA124" s="149"/>
      <c r="AB124" s="149"/>
    </row>
    <row r="125" spans="1:28" ht="15" customHeight="1">
      <c r="A125" s="240">
        <f t="shared" si="34"/>
        <v>85</v>
      </c>
      <c r="B125" s="241"/>
      <c r="C125" s="292"/>
      <c r="D125" s="242"/>
      <c r="E125" s="292"/>
      <c r="F125" s="604"/>
      <c r="G125" s="607">
        <f>IFERROR(INDEX(【様式３】シフト表!$AK$7:$AK$106,MATCH($O125,【様式３】シフト表!$B$7:$B$106,0),1),0)</f>
        <v>0</v>
      </c>
      <c r="H125" s="162"/>
      <c r="I125" s="243"/>
      <c r="J125" s="610" t="str">
        <f t="shared" si="33"/>
        <v>-</v>
      </c>
      <c r="K125" s="1179"/>
      <c r="L125" s="401"/>
      <c r="M125" s="244" t="b">
        <f t="shared" si="27"/>
        <v>0</v>
      </c>
      <c r="N125" s="496" t="b">
        <f>AND($N$38,C125=$N$39,M125,COUNTIF($N$40:$N124,TRUE)=0)</f>
        <v>0</v>
      </c>
      <c r="O125" s="245">
        <f>IF($E125&lt;&gt;$O$38,0,COUNTIF($E$41:E125,$O$38))</f>
        <v>0</v>
      </c>
      <c r="P125" s="245" t="e">
        <f t="shared" si="28"/>
        <v>#VALUE!</v>
      </c>
      <c r="Q125" s="246" t="b">
        <f t="shared" si="29"/>
        <v>1</v>
      </c>
      <c r="R125" s="374"/>
      <c r="S125" s="293">
        <f t="shared" si="30"/>
        <v>0</v>
      </c>
      <c r="T125" s="248">
        <f t="shared" si="31"/>
        <v>0</v>
      </c>
      <c r="U125" s="293">
        <f t="shared" si="35"/>
        <v>0</v>
      </c>
      <c r="V125" s="248">
        <f t="shared" si="35"/>
        <v>0</v>
      </c>
      <c r="W125" s="248">
        <f t="shared" si="35"/>
        <v>0</v>
      </c>
      <c r="X125" s="294">
        <f t="shared" si="35"/>
        <v>0</v>
      </c>
      <c r="Y125" s="295">
        <f t="shared" si="32"/>
        <v>0</v>
      </c>
      <c r="Z125" s="149"/>
      <c r="AA125" s="149"/>
      <c r="AB125" s="149"/>
    </row>
    <row r="126" spans="1:28" ht="15" customHeight="1">
      <c r="A126" s="240">
        <f t="shared" si="34"/>
        <v>86</v>
      </c>
      <c r="B126" s="241"/>
      <c r="C126" s="292"/>
      <c r="D126" s="242"/>
      <c r="E126" s="292"/>
      <c r="F126" s="604"/>
      <c r="G126" s="607">
        <f>IFERROR(INDEX(【様式３】シフト表!$AK$7:$AK$106,MATCH($O126,【様式３】シフト表!$B$7:$B$106,0),1),0)</f>
        <v>0</v>
      </c>
      <c r="H126" s="162"/>
      <c r="I126" s="243"/>
      <c r="J126" s="610" t="str">
        <f t="shared" si="33"/>
        <v>-</v>
      </c>
      <c r="K126" s="1179"/>
      <c r="L126" s="401"/>
      <c r="M126" s="244" t="b">
        <f t="shared" si="27"/>
        <v>0</v>
      </c>
      <c r="N126" s="496" t="b">
        <f>AND($N$38,C126=$N$39,M126,COUNTIF($N$40:$N125,TRUE)=0)</f>
        <v>0</v>
      </c>
      <c r="O126" s="245">
        <f>IF($E126&lt;&gt;$O$38,0,COUNTIF($E$41:E126,$O$38))</f>
        <v>0</v>
      </c>
      <c r="P126" s="245" t="e">
        <f t="shared" si="28"/>
        <v>#VALUE!</v>
      </c>
      <c r="Q126" s="246" t="b">
        <f t="shared" si="29"/>
        <v>1</v>
      </c>
      <c r="R126" s="374"/>
      <c r="S126" s="293">
        <f t="shared" si="30"/>
        <v>0</v>
      </c>
      <c r="T126" s="248">
        <f t="shared" si="31"/>
        <v>0</v>
      </c>
      <c r="U126" s="293">
        <f t="shared" si="35"/>
        <v>0</v>
      </c>
      <c r="V126" s="248">
        <f t="shared" si="35"/>
        <v>0</v>
      </c>
      <c r="W126" s="248">
        <f t="shared" si="35"/>
        <v>0</v>
      </c>
      <c r="X126" s="294">
        <f t="shared" si="35"/>
        <v>0</v>
      </c>
      <c r="Y126" s="295">
        <f t="shared" si="32"/>
        <v>0</v>
      </c>
      <c r="Z126" s="149"/>
      <c r="AA126" s="149"/>
      <c r="AB126" s="149"/>
    </row>
    <row r="127" spans="1:28" ht="15" customHeight="1">
      <c r="A127" s="240">
        <f t="shared" si="34"/>
        <v>87</v>
      </c>
      <c r="B127" s="241"/>
      <c r="C127" s="292"/>
      <c r="D127" s="242"/>
      <c r="E127" s="292"/>
      <c r="F127" s="604"/>
      <c r="G127" s="607">
        <f>IFERROR(INDEX(【様式３】シフト表!$AK$7:$AK$106,MATCH($O127,【様式３】シフト表!$B$7:$B$106,0),1),0)</f>
        <v>0</v>
      </c>
      <c r="H127" s="162"/>
      <c r="I127" s="243"/>
      <c r="J127" s="610" t="str">
        <f t="shared" si="33"/>
        <v>-</v>
      </c>
      <c r="K127" s="1179"/>
      <c r="L127" s="401"/>
      <c r="M127" s="244" t="b">
        <f t="shared" si="27"/>
        <v>0</v>
      </c>
      <c r="N127" s="496" t="b">
        <f>AND($N$38,C127=$N$39,M127,COUNTIF($N$40:$N126,TRUE)=0)</f>
        <v>0</v>
      </c>
      <c r="O127" s="245">
        <f>IF($E127&lt;&gt;$O$38,0,COUNTIF($E$41:E127,$O$38))</f>
        <v>0</v>
      </c>
      <c r="P127" s="245" t="e">
        <f t="shared" si="28"/>
        <v>#VALUE!</v>
      </c>
      <c r="Q127" s="246" t="b">
        <f t="shared" si="29"/>
        <v>1</v>
      </c>
      <c r="R127" s="374"/>
      <c r="S127" s="293">
        <f t="shared" si="30"/>
        <v>0</v>
      </c>
      <c r="T127" s="248">
        <f t="shared" si="31"/>
        <v>0</v>
      </c>
      <c r="U127" s="293">
        <f t="shared" si="35"/>
        <v>0</v>
      </c>
      <c r="V127" s="248">
        <f t="shared" si="35"/>
        <v>0</v>
      </c>
      <c r="W127" s="248">
        <f t="shared" si="35"/>
        <v>0</v>
      </c>
      <c r="X127" s="294">
        <f t="shared" si="35"/>
        <v>0</v>
      </c>
      <c r="Y127" s="295">
        <f t="shared" si="32"/>
        <v>0</v>
      </c>
      <c r="Z127" s="149"/>
      <c r="AA127" s="149"/>
      <c r="AB127" s="149"/>
    </row>
    <row r="128" spans="1:28" ht="15" customHeight="1">
      <c r="A128" s="240">
        <f t="shared" si="34"/>
        <v>88</v>
      </c>
      <c r="B128" s="241"/>
      <c r="C128" s="292"/>
      <c r="D128" s="242"/>
      <c r="E128" s="292"/>
      <c r="F128" s="604"/>
      <c r="G128" s="607">
        <f>IFERROR(INDEX(【様式３】シフト表!$AK$7:$AK$106,MATCH($O128,【様式３】シフト表!$B$7:$B$106,0),1),0)</f>
        <v>0</v>
      </c>
      <c r="H128" s="162"/>
      <c r="I128" s="243"/>
      <c r="J128" s="610" t="str">
        <f t="shared" si="33"/>
        <v>-</v>
      </c>
      <c r="K128" s="1179"/>
      <c r="L128" s="401"/>
      <c r="M128" s="244" t="b">
        <f t="shared" si="27"/>
        <v>0</v>
      </c>
      <c r="N128" s="496" t="b">
        <f>AND($N$38,C128=$N$39,M128,COUNTIF($N$40:$N127,TRUE)=0)</f>
        <v>0</v>
      </c>
      <c r="O128" s="245">
        <f>IF($E128&lt;&gt;$O$38,0,COUNTIF($E$41:E128,$O$38))</f>
        <v>0</v>
      </c>
      <c r="P128" s="245" t="e">
        <f t="shared" si="28"/>
        <v>#VALUE!</v>
      </c>
      <c r="Q128" s="246" t="b">
        <f t="shared" si="29"/>
        <v>1</v>
      </c>
      <c r="R128" s="374"/>
      <c r="S128" s="293">
        <f t="shared" si="30"/>
        <v>0</v>
      </c>
      <c r="T128" s="248">
        <f t="shared" si="31"/>
        <v>0</v>
      </c>
      <c r="U128" s="293">
        <f t="shared" si="35"/>
        <v>0</v>
      </c>
      <c r="V128" s="248">
        <f t="shared" si="35"/>
        <v>0</v>
      </c>
      <c r="W128" s="248">
        <f t="shared" si="35"/>
        <v>0</v>
      </c>
      <c r="X128" s="294">
        <f t="shared" si="35"/>
        <v>0</v>
      </c>
      <c r="Y128" s="295">
        <f t="shared" si="32"/>
        <v>0</v>
      </c>
      <c r="Z128" s="149"/>
      <c r="AA128" s="149"/>
      <c r="AB128" s="149"/>
    </row>
    <row r="129" spans="1:28" ht="15" customHeight="1">
      <c r="A129" s="240">
        <f t="shared" si="34"/>
        <v>89</v>
      </c>
      <c r="B129" s="241"/>
      <c r="C129" s="292"/>
      <c r="D129" s="242"/>
      <c r="E129" s="292"/>
      <c r="F129" s="604"/>
      <c r="G129" s="607">
        <f>IFERROR(INDEX(【様式３】シフト表!$AK$7:$AK$106,MATCH($O129,【様式３】シフト表!$B$7:$B$106,0),1),0)</f>
        <v>0</v>
      </c>
      <c r="H129" s="162"/>
      <c r="I129" s="243"/>
      <c r="J129" s="610" t="str">
        <f t="shared" si="33"/>
        <v>-</v>
      </c>
      <c r="K129" s="1179"/>
      <c r="L129" s="401"/>
      <c r="M129" s="244" t="b">
        <f t="shared" si="27"/>
        <v>0</v>
      </c>
      <c r="N129" s="496" t="b">
        <f>AND($N$38,C129=$N$39,M129,COUNTIF($N$40:$N128,TRUE)=0)</f>
        <v>0</v>
      </c>
      <c r="O129" s="245">
        <f>IF($E129&lt;&gt;$O$38,0,COUNTIF($E$41:E129,$O$38))</f>
        <v>0</v>
      </c>
      <c r="P129" s="245" t="e">
        <f t="shared" si="28"/>
        <v>#VALUE!</v>
      </c>
      <c r="Q129" s="246" t="b">
        <f t="shared" si="29"/>
        <v>1</v>
      </c>
      <c r="R129" s="374"/>
      <c r="S129" s="293">
        <f t="shared" si="30"/>
        <v>0</v>
      </c>
      <c r="T129" s="248">
        <f t="shared" si="31"/>
        <v>0</v>
      </c>
      <c r="U129" s="293">
        <f t="shared" si="35"/>
        <v>0</v>
      </c>
      <c r="V129" s="248">
        <f t="shared" si="35"/>
        <v>0</v>
      </c>
      <c r="W129" s="248">
        <f t="shared" si="35"/>
        <v>0</v>
      </c>
      <c r="X129" s="294">
        <f t="shared" si="35"/>
        <v>0</v>
      </c>
      <c r="Y129" s="295">
        <f t="shared" si="32"/>
        <v>0</v>
      </c>
      <c r="Z129" s="149"/>
      <c r="AA129" s="149"/>
      <c r="AB129" s="149"/>
    </row>
    <row r="130" spans="1:28" ht="15" customHeight="1">
      <c r="A130" s="240">
        <f t="shared" si="34"/>
        <v>90</v>
      </c>
      <c r="B130" s="241"/>
      <c r="C130" s="292"/>
      <c r="D130" s="242"/>
      <c r="E130" s="292"/>
      <c r="F130" s="604"/>
      <c r="G130" s="607">
        <f>IFERROR(INDEX(【様式３】シフト表!$AK$7:$AK$106,MATCH($O130,【様式３】シフト表!$B$7:$B$106,0),1),0)</f>
        <v>0</v>
      </c>
      <c r="H130" s="162"/>
      <c r="I130" s="243"/>
      <c r="J130" s="610" t="str">
        <f t="shared" si="33"/>
        <v>-</v>
      </c>
      <c r="K130" s="1179"/>
      <c r="L130" s="401"/>
      <c r="M130" s="244" t="b">
        <f t="shared" si="27"/>
        <v>0</v>
      </c>
      <c r="N130" s="496" t="b">
        <f>AND($N$38,C130=$N$39,M130,COUNTIF($N$40:$N129,TRUE)=0)</f>
        <v>0</v>
      </c>
      <c r="O130" s="245">
        <f>IF($E130&lt;&gt;$O$38,0,COUNTIF($E$41:E130,$O$38))</f>
        <v>0</v>
      </c>
      <c r="P130" s="245" t="e">
        <f t="shared" si="28"/>
        <v>#VALUE!</v>
      </c>
      <c r="Q130" s="246" t="b">
        <f t="shared" si="29"/>
        <v>1</v>
      </c>
      <c r="R130" s="374"/>
      <c r="S130" s="293">
        <f t="shared" si="30"/>
        <v>0</v>
      </c>
      <c r="T130" s="248">
        <f t="shared" si="31"/>
        <v>0</v>
      </c>
      <c r="U130" s="293">
        <f t="shared" si="35"/>
        <v>0</v>
      </c>
      <c r="V130" s="248">
        <f t="shared" si="35"/>
        <v>0</v>
      </c>
      <c r="W130" s="248">
        <f t="shared" si="35"/>
        <v>0</v>
      </c>
      <c r="X130" s="294">
        <f t="shared" si="35"/>
        <v>0</v>
      </c>
      <c r="Y130" s="295">
        <f t="shared" si="32"/>
        <v>0</v>
      </c>
      <c r="Z130" s="149"/>
      <c r="AA130" s="149"/>
      <c r="AB130" s="149"/>
    </row>
    <row r="131" spans="1:28" ht="15" customHeight="1">
      <c r="A131" s="240">
        <f t="shared" si="34"/>
        <v>91</v>
      </c>
      <c r="B131" s="241"/>
      <c r="C131" s="292"/>
      <c r="D131" s="242"/>
      <c r="E131" s="292"/>
      <c r="F131" s="604"/>
      <c r="G131" s="607">
        <f>IFERROR(INDEX(【様式３】シフト表!$AK$7:$AK$106,MATCH($O131,【様式３】シフト表!$B$7:$B$106,0),1),0)</f>
        <v>0</v>
      </c>
      <c r="H131" s="162"/>
      <c r="I131" s="243"/>
      <c r="J131" s="610" t="str">
        <f t="shared" si="33"/>
        <v>-</v>
      </c>
      <c r="K131" s="1179"/>
      <c r="L131" s="401"/>
      <c r="M131" s="244" t="b">
        <f t="shared" si="27"/>
        <v>0</v>
      </c>
      <c r="N131" s="496" t="b">
        <f>AND($N$38,C131=$N$39,M131,COUNTIF($N$40:$N130,TRUE)=0)</f>
        <v>0</v>
      </c>
      <c r="O131" s="245">
        <f>IF($E131&lt;&gt;$O$38,0,COUNTIF($E$41:E131,$O$38))</f>
        <v>0</v>
      </c>
      <c r="P131" s="245" t="e">
        <f t="shared" si="28"/>
        <v>#VALUE!</v>
      </c>
      <c r="Q131" s="246" t="b">
        <f t="shared" si="29"/>
        <v>1</v>
      </c>
      <c r="R131" s="374"/>
      <c r="S131" s="293">
        <f t="shared" si="30"/>
        <v>0</v>
      </c>
      <c r="T131" s="248">
        <f t="shared" si="31"/>
        <v>0</v>
      </c>
      <c r="U131" s="293">
        <f t="shared" si="35"/>
        <v>0</v>
      </c>
      <c r="V131" s="248">
        <f t="shared" si="35"/>
        <v>0</v>
      </c>
      <c r="W131" s="248">
        <f t="shared" si="35"/>
        <v>0</v>
      </c>
      <c r="X131" s="294">
        <f t="shared" si="35"/>
        <v>0</v>
      </c>
      <c r="Y131" s="295">
        <f t="shared" si="32"/>
        <v>0</v>
      </c>
      <c r="Z131" s="149"/>
      <c r="AA131" s="149"/>
      <c r="AB131" s="149"/>
    </row>
    <row r="132" spans="1:28" ht="15" customHeight="1">
      <c r="A132" s="240">
        <f t="shared" si="34"/>
        <v>92</v>
      </c>
      <c r="B132" s="241"/>
      <c r="C132" s="292"/>
      <c r="D132" s="242"/>
      <c r="E132" s="292"/>
      <c r="F132" s="604"/>
      <c r="G132" s="607">
        <f>IFERROR(INDEX(【様式３】シフト表!$AK$7:$AK$106,MATCH($O132,【様式３】シフト表!$B$7:$B$106,0),1),0)</f>
        <v>0</v>
      </c>
      <c r="H132" s="162"/>
      <c r="I132" s="243"/>
      <c r="J132" s="610" t="str">
        <f t="shared" si="33"/>
        <v>-</v>
      </c>
      <c r="K132" s="1179"/>
      <c r="L132" s="401"/>
      <c r="M132" s="244" t="b">
        <f t="shared" si="27"/>
        <v>0</v>
      </c>
      <c r="N132" s="496" t="b">
        <f>AND($N$38,C132=$N$39,M132,COUNTIF($N$40:$N131,TRUE)=0)</f>
        <v>0</v>
      </c>
      <c r="O132" s="245">
        <f>IF($E132&lt;&gt;$O$38,0,COUNTIF($E$41:E132,$O$38))</f>
        <v>0</v>
      </c>
      <c r="P132" s="245" t="e">
        <f t="shared" si="28"/>
        <v>#VALUE!</v>
      </c>
      <c r="Q132" s="246" t="b">
        <f t="shared" si="29"/>
        <v>1</v>
      </c>
      <c r="R132" s="374"/>
      <c r="S132" s="293">
        <f t="shared" si="30"/>
        <v>0</v>
      </c>
      <c r="T132" s="248">
        <f t="shared" si="31"/>
        <v>0</v>
      </c>
      <c r="U132" s="293">
        <f t="shared" si="35"/>
        <v>0</v>
      </c>
      <c r="V132" s="248">
        <f t="shared" si="35"/>
        <v>0</v>
      </c>
      <c r="W132" s="248">
        <f t="shared" si="35"/>
        <v>0</v>
      </c>
      <c r="X132" s="294">
        <f t="shared" si="35"/>
        <v>0</v>
      </c>
      <c r="Y132" s="295">
        <f t="shared" si="32"/>
        <v>0</v>
      </c>
      <c r="Z132" s="149"/>
      <c r="AA132" s="149"/>
      <c r="AB132" s="149"/>
    </row>
    <row r="133" spans="1:28" ht="15" customHeight="1">
      <c r="A133" s="240">
        <f t="shared" si="34"/>
        <v>93</v>
      </c>
      <c r="B133" s="241"/>
      <c r="C133" s="292"/>
      <c r="D133" s="242"/>
      <c r="E133" s="292"/>
      <c r="F133" s="604"/>
      <c r="G133" s="607">
        <f>IFERROR(INDEX(【様式３】シフト表!$AK$7:$AK$106,MATCH($O133,【様式３】シフト表!$B$7:$B$106,0),1),0)</f>
        <v>0</v>
      </c>
      <c r="H133" s="162"/>
      <c r="I133" s="243"/>
      <c r="J133" s="610" t="str">
        <f t="shared" si="33"/>
        <v>-</v>
      </c>
      <c r="K133" s="1179"/>
      <c r="L133" s="401"/>
      <c r="M133" s="244" t="b">
        <f t="shared" si="27"/>
        <v>0</v>
      </c>
      <c r="N133" s="496" t="b">
        <f>AND($N$38,C133=$N$39,M133,COUNTIF($N$40:$N132,TRUE)=0)</f>
        <v>0</v>
      </c>
      <c r="O133" s="245">
        <f>IF($E133&lt;&gt;$O$38,0,COUNTIF($E$41:E133,$O$38))</f>
        <v>0</v>
      </c>
      <c r="P133" s="245" t="e">
        <f t="shared" si="28"/>
        <v>#VALUE!</v>
      </c>
      <c r="Q133" s="246" t="b">
        <f t="shared" si="29"/>
        <v>1</v>
      </c>
      <c r="R133" s="374"/>
      <c r="S133" s="293">
        <f t="shared" si="30"/>
        <v>0</v>
      </c>
      <c r="T133" s="248">
        <f t="shared" si="31"/>
        <v>0</v>
      </c>
      <c r="U133" s="293">
        <f t="shared" si="35"/>
        <v>0</v>
      </c>
      <c r="V133" s="248">
        <f t="shared" si="35"/>
        <v>0</v>
      </c>
      <c r="W133" s="248">
        <f t="shared" si="35"/>
        <v>0</v>
      </c>
      <c r="X133" s="294">
        <f t="shared" si="35"/>
        <v>0</v>
      </c>
      <c r="Y133" s="295">
        <f t="shared" si="32"/>
        <v>0</v>
      </c>
      <c r="Z133" s="149"/>
      <c r="AA133" s="149"/>
      <c r="AB133" s="149"/>
    </row>
    <row r="134" spans="1:28" ht="15" customHeight="1">
      <c r="A134" s="240">
        <f t="shared" si="34"/>
        <v>94</v>
      </c>
      <c r="B134" s="241"/>
      <c r="C134" s="292"/>
      <c r="D134" s="242"/>
      <c r="E134" s="292"/>
      <c r="F134" s="604"/>
      <c r="G134" s="607">
        <f>IFERROR(INDEX(【様式３】シフト表!$AK$7:$AK$106,MATCH($O134,【様式３】シフト表!$B$7:$B$106,0),1),0)</f>
        <v>0</v>
      </c>
      <c r="H134" s="162"/>
      <c r="I134" s="243"/>
      <c r="J134" s="610" t="str">
        <f t="shared" si="33"/>
        <v>-</v>
      </c>
      <c r="K134" s="1179"/>
      <c r="L134" s="401"/>
      <c r="M134" s="244" t="b">
        <f t="shared" si="27"/>
        <v>0</v>
      </c>
      <c r="N134" s="496" t="b">
        <f>AND($N$38,C134=$N$39,M134,COUNTIF($N$40:$N133,TRUE)=0)</f>
        <v>0</v>
      </c>
      <c r="O134" s="245">
        <f>IF($E134&lt;&gt;$O$38,0,COUNTIF($E$41:E134,$O$38))</f>
        <v>0</v>
      </c>
      <c r="P134" s="245" t="e">
        <f t="shared" si="28"/>
        <v>#VALUE!</v>
      </c>
      <c r="Q134" s="246" t="b">
        <f t="shared" si="29"/>
        <v>1</v>
      </c>
      <c r="R134" s="374"/>
      <c r="S134" s="293">
        <f t="shared" si="30"/>
        <v>0</v>
      </c>
      <c r="T134" s="248">
        <f t="shared" si="31"/>
        <v>0</v>
      </c>
      <c r="U134" s="293">
        <f t="shared" si="35"/>
        <v>0</v>
      </c>
      <c r="V134" s="248">
        <f t="shared" si="35"/>
        <v>0</v>
      </c>
      <c r="W134" s="248">
        <f t="shared" si="35"/>
        <v>0</v>
      </c>
      <c r="X134" s="294">
        <f t="shared" si="35"/>
        <v>0</v>
      </c>
      <c r="Y134" s="295">
        <f t="shared" si="32"/>
        <v>0</v>
      </c>
      <c r="Z134" s="149"/>
      <c r="AA134" s="149"/>
    </row>
    <row r="135" spans="1:28" ht="15" customHeight="1">
      <c r="A135" s="240">
        <f t="shared" si="34"/>
        <v>95</v>
      </c>
      <c r="B135" s="241"/>
      <c r="C135" s="292"/>
      <c r="D135" s="242"/>
      <c r="E135" s="292"/>
      <c r="F135" s="604"/>
      <c r="G135" s="607">
        <f>IFERROR(INDEX(【様式３】シフト表!$AK$7:$AK$106,MATCH($O135,【様式３】シフト表!$B$7:$B$106,0),1),0)</f>
        <v>0</v>
      </c>
      <c r="H135" s="162"/>
      <c r="I135" s="243"/>
      <c r="J135" s="610" t="str">
        <f t="shared" si="33"/>
        <v>-</v>
      </c>
      <c r="K135" s="1179"/>
      <c r="L135" s="401"/>
      <c r="M135" s="244" t="b">
        <f t="shared" si="27"/>
        <v>0</v>
      </c>
      <c r="N135" s="496" t="b">
        <f>AND($N$38,C135=$N$39,M135,COUNTIF($N$40:$N134,TRUE)=0)</f>
        <v>0</v>
      </c>
      <c r="O135" s="245">
        <f>IF($E135&lt;&gt;$O$38,0,COUNTIF($E$41:E135,$O$38))</f>
        <v>0</v>
      </c>
      <c r="P135" s="245" t="e">
        <f t="shared" si="28"/>
        <v>#VALUE!</v>
      </c>
      <c r="Q135" s="246" t="b">
        <f t="shared" si="29"/>
        <v>1</v>
      </c>
      <c r="R135" s="374"/>
      <c r="S135" s="293">
        <f t="shared" si="30"/>
        <v>0</v>
      </c>
      <c r="T135" s="248">
        <f t="shared" si="31"/>
        <v>0</v>
      </c>
      <c r="U135" s="293">
        <f t="shared" si="35"/>
        <v>0</v>
      </c>
      <c r="V135" s="248">
        <f t="shared" si="35"/>
        <v>0</v>
      </c>
      <c r="W135" s="248">
        <f t="shared" si="35"/>
        <v>0</v>
      </c>
      <c r="X135" s="294">
        <f t="shared" si="35"/>
        <v>0</v>
      </c>
      <c r="Y135" s="295">
        <f t="shared" si="32"/>
        <v>0</v>
      </c>
      <c r="AA135" s="149"/>
    </row>
    <row r="136" spans="1:28" ht="15" customHeight="1">
      <c r="A136" s="240">
        <f t="shared" si="34"/>
        <v>96</v>
      </c>
      <c r="B136" s="241"/>
      <c r="C136" s="292"/>
      <c r="D136" s="242"/>
      <c r="E136" s="292"/>
      <c r="F136" s="604"/>
      <c r="G136" s="607">
        <f>IFERROR(INDEX(【様式３】シフト表!$AK$7:$AK$106,MATCH($O136,【様式３】シフト表!$B$7:$B$106,0),1),0)</f>
        <v>0</v>
      </c>
      <c r="H136" s="162"/>
      <c r="I136" s="243"/>
      <c r="J136" s="610" t="str">
        <f t="shared" si="33"/>
        <v>-</v>
      </c>
      <c r="K136" s="1179"/>
      <c r="L136" s="401"/>
      <c r="M136" s="244" t="b">
        <f t="shared" si="27"/>
        <v>0</v>
      </c>
      <c r="N136" s="496" t="b">
        <f>AND($N$38,C136=$N$39,M136,COUNTIF($N$40:$N135,TRUE)=0)</f>
        <v>0</v>
      </c>
      <c r="O136" s="245">
        <f>IF($E136&lt;&gt;$O$38,0,COUNTIF($E$41:E136,$O$38))</f>
        <v>0</v>
      </c>
      <c r="P136" s="245" t="e">
        <f t="shared" si="28"/>
        <v>#VALUE!</v>
      </c>
      <c r="Q136" s="246" t="b">
        <f t="shared" si="29"/>
        <v>1</v>
      </c>
      <c r="R136" s="374"/>
      <c r="S136" s="293">
        <f t="shared" si="30"/>
        <v>0</v>
      </c>
      <c r="T136" s="248">
        <f t="shared" si="31"/>
        <v>0</v>
      </c>
      <c r="U136" s="293">
        <f t="shared" si="35"/>
        <v>0</v>
      </c>
      <c r="V136" s="248">
        <f t="shared" si="35"/>
        <v>0</v>
      </c>
      <c r="W136" s="248">
        <f t="shared" si="35"/>
        <v>0</v>
      </c>
      <c r="X136" s="294">
        <f t="shared" si="35"/>
        <v>0</v>
      </c>
      <c r="Y136" s="295">
        <f t="shared" si="32"/>
        <v>0</v>
      </c>
    </row>
    <row r="137" spans="1:28" ht="20.100000000000001" customHeight="1">
      <c r="A137" s="240">
        <f t="shared" si="34"/>
        <v>97</v>
      </c>
      <c r="B137" s="241"/>
      <c r="C137" s="292"/>
      <c r="D137" s="242"/>
      <c r="E137" s="292"/>
      <c r="F137" s="604"/>
      <c r="G137" s="607">
        <f>IFERROR(INDEX(【様式３】シフト表!$AK$7:$AK$106,MATCH($O137,【様式３】シフト表!$B$7:$B$106,0),1),0)</f>
        <v>0</v>
      </c>
      <c r="H137" s="162"/>
      <c r="I137" s="243"/>
      <c r="J137" s="610" t="str">
        <f t="shared" si="33"/>
        <v>-</v>
      </c>
      <c r="K137" s="1179"/>
      <c r="L137" s="401"/>
      <c r="M137" s="244" t="b">
        <f t="shared" si="27"/>
        <v>0</v>
      </c>
      <c r="N137" s="496" t="b">
        <f>AND($N$38,C137=$N$39,M137,COUNTIF($N$40:$N136,TRUE)=0)</f>
        <v>0</v>
      </c>
      <c r="O137" s="245">
        <f>IF($E137&lt;&gt;$O$38,0,COUNTIF($E$41:E137,$O$38))</f>
        <v>0</v>
      </c>
      <c r="P137" s="245" t="e">
        <f t="shared" si="28"/>
        <v>#VALUE!</v>
      </c>
      <c r="Q137" s="246" t="b">
        <f t="shared" si="29"/>
        <v>1</v>
      </c>
      <c r="R137" s="374"/>
      <c r="S137" s="293">
        <f t="shared" si="30"/>
        <v>0</v>
      </c>
      <c r="T137" s="248">
        <f t="shared" si="31"/>
        <v>0</v>
      </c>
      <c r="U137" s="293">
        <f t="shared" si="35"/>
        <v>0</v>
      </c>
      <c r="V137" s="248">
        <f t="shared" si="35"/>
        <v>0</v>
      </c>
      <c r="W137" s="248">
        <f t="shared" si="35"/>
        <v>0</v>
      </c>
      <c r="X137" s="294">
        <f t="shared" si="35"/>
        <v>0</v>
      </c>
      <c r="Y137" s="295">
        <f t="shared" si="32"/>
        <v>0</v>
      </c>
    </row>
    <row r="138" spans="1:28" ht="20.100000000000001" customHeight="1">
      <c r="A138" s="240">
        <f t="shared" si="34"/>
        <v>98</v>
      </c>
      <c r="B138" s="241"/>
      <c r="C138" s="292"/>
      <c r="D138" s="242"/>
      <c r="E138" s="292"/>
      <c r="F138" s="604"/>
      <c r="G138" s="607">
        <f>IFERROR(INDEX(【様式３】シフト表!$AK$7:$AK$106,MATCH($O138,【様式３】シフト表!$B$7:$B$106,0),1),0)</f>
        <v>0</v>
      </c>
      <c r="H138" s="162"/>
      <c r="I138" s="243"/>
      <c r="J138" s="610" t="str">
        <f t="shared" si="33"/>
        <v>-</v>
      </c>
      <c r="K138" s="1179"/>
      <c r="L138" s="401"/>
      <c r="M138" s="244" t="b">
        <f t="shared" si="27"/>
        <v>0</v>
      </c>
      <c r="N138" s="496" t="b">
        <f>AND($N$38,C138=$N$39,M138,COUNTIF($N$40:$N137,TRUE)=0)</f>
        <v>0</v>
      </c>
      <c r="O138" s="245">
        <f>IF($E138&lt;&gt;$O$38,0,COUNTIF($E$41:E138,$O$38))</f>
        <v>0</v>
      </c>
      <c r="P138" s="245" t="e">
        <f t="shared" si="28"/>
        <v>#VALUE!</v>
      </c>
      <c r="Q138" s="246" t="b">
        <f t="shared" si="29"/>
        <v>1</v>
      </c>
      <c r="R138" s="374"/>
      <c r="S138" s="293">
        <f t="shared" si="30"/>
        <v>0</v>
      </c>
      <c r="T138" s="248">
        <f t="shared" si="31"/>
        <v>0</v>
      </c>
      <c r="U138" s="293">
        <f t="shared" si="35"/>
        <v>0</v>
      </c>
      <c r="V138" s="248">
        <f t="shared" si="35"/>
        <v>0</v>
      </c>
      <c r="W138" s="248">
        <f t="shared" si="35"/>
        <v>0</v>
      </c>
      <c r="X138" s="294">
        <f t="shared" si="35"/>
        <v>0</v>
      </c>
      <c r="Y138" s="295">
        <f t="shared" si="32"/>
        <v>0</v>
      </c>
    </row>
    <row r="139" spans="1:28" ht="20.100000000000001" customHeight="1">
      <c r="A139" s="240">
        <f t="shared" si="34"/>
        <v>99</v>
      </c>
      <c r="B139" s="241"/>
      <c r="C139" s="292"/>
      <c r="D139" s="242"/>
      <c r="E139" s="292"/>
      <c r="F139" s="604"/>
      <c r="G139" s="607">
        <f>IFERROR(INDEX(【様式３】シフト表!$AK$7:$AK$106,MATCH($O139,【様式３】シフト表!$B$7:$B$106,0),1),0)</f>
        <v>0</v>
      </c>
      <c r="H139" s="162"/>
      <c r="I139" s="243"/>
      <c r="J139" s="610" t="str">
        <f t="shared" si="33"/>
        <v>-</v>
      </c>
      <c r="K139" s="1179"/>
      <c r="L139" s="401"/>
      <c r="M139" s="244" t="b">
        <f t="shared" si="27"/>
        <v>0</v>
      </c>
      <c r="N139" s="496" t="b">
        <f>AND($N$38,C139=$N$39,M139,COUNTIF($N$40:$N138,TRUE)=0)</f>
        <v>0</v>
      </c>
      <c r="O139" s="245">
        <f>IF($E139&lt;&gt;$O$38,0,COUNTIF($E$41:E139,$O$38))</f>
        <v>0</v>
      </c>
      <c r="P139" s="245" t="e">
        <f t="shared" si="28"/>
        <v>#VALUE!</v>
      </c>
      <c r="Q139" s="246" t="b">
        <f t="shared" si="29"/>
        <v>1</v>
      </c>
      <c r="R139" s="374"/>
      <c r="S139" s="293">
        <f t="shared" si="30"/>
        <v>0</v>
      </c>
      <c r="T139" s="248">
        <f t="shared" si="31"/>
        <v>0</v>
      </c>
      <c r="U139" s="293">
        <f t="shared" si="35"/>
        <v>0</v>
      </c>
      <c r="V139" s="248">
        <f t="shared" si="35"/>
        <v>0</v>
      </c>
      <c r="W139" s="248">
        <f t="shared" si="35"/>
        <v>0</v>
      </c>
      <c r="X139" s="294">
        <f t="shared" si="35"/>
        <v>0</v>
      </c>
      <c r="Y139" s="295">
        <f t="shared" si="32"/>
        <v>0</v>
      </c>
    </row>
    <row r="140" spans="1:28" ht="20.100000000000001" customHeight="1" thickBot="1">
      <c r="A140" s="254">
        <f t="shared" si="34"/>
        <v>100</v>
      </c>
      <c r="B140" s="255"/>
      <c r="C140" s="296"/>
      <c r="D140" s="256"/>
      <c r="E140" s="296"/>
      <c r="F140" s="605"/>
      <c r="G140" s="608">
        <f>IFERROR(INDEX(【様式３】シフト表!$AK$7:$AK$106,MATCH($O140,【様式３】シフト表!$B$7:$B$106,0),1),0)</f>
        <v>0</v>
      </c>
      <c r="H140" s="257"/>
      <c r="I140" s="258"/>
      <c r="J140" s="611" t="str">
        <f t="shared" si="33"/>
        <v>-</v>
      </c>
      <c r="K140" s="1179"/>
      <c r="L140" s="401"/>
      <c r="M140" s="259" t="b">
        <f t="shared" si="27"/>
        <v>0</v>
      </c>
      <c r="N140" s="497" t="b">
        <f>AND($N$38,C140=$N$39,M140,COUNTIF($N$40:$N139,TRUE)=0)</f>
        <v>0</v>
      </c>
      <c r="O140" s="260">
        <f>IF($E140&lt;&gt;$O$38,0,COUNTIF($E$41:E140,$O$38))</f>
        <v>0</v>
      </c>
      <c r="P140" s="260" t="e">
        <f t="shared" si="28"/>
        <v>#VALUE!</v>
      </c>
      <c r="Q140" s="261" t="b">
        <f t="shared" si="29"/>
        <v>1</v>
      </c>
      <c r="R140" s="374"/>
      <c r="S140" s="297">
        <f t="shared" si="30"/>
        <v>0</v>
      </c>
      <c r="T140" s="263">
        <f t="shared" si="31"/>
        <v>0</v>
      </c>
      <c r="U140" s="297">
        <f t="shared" si="35"/>
        <v>0</v>
      </c>
      <c r="V140" s="263">
        <f t="shared" si="35"/>
        <v>0</v>
      </c>
      <c r="W140" s="263">
        <f t="shared" si="35"/>
        <v>0</v>
      </c>
      <c r="X140" s="298">
        <f t="shared" si="35"/>
        <v>0</v>
      </c>
      <c r="Y140" s="299">
        <f t="shared" si="32"/>
        <v>0</v>
      </c>
    </row>
    <row r="141" spans="1:28" ht="20.100000000000001" customHeight="1" thickBot="1">
      <c r="Q141" s="147"/>
      <c r="R141" s="300" t="str">
        <f t="shared" ref="R141:R146" si="36">AA26</f>
        <v>施設長</v>
      </c>
      <c r="S141" s="301">
        <f>SUMIFS(S$41:S$140,$J$41:$J$140,$R141)</f>
        <v>0</v>
      </c>
      <c r="T141" s="302">
        <f>SUMIFS(T$41:T$140,$J$41:$J$140,$R141)</f>
        <v>0</v>
      </c>
      <c r="U141" s="289">
        <f t="shared" ref="U141:Y146" si="37">COUNTIF(U$41:U$140,$R141)</f>
        <v>0</v>
      </c>
      <c r="V141" s="290">
        <f t="shared" si="37"/>
        <v>0</v>
      </c>
      <c r="W141" s="290">
        <f t="shared" si="37"/>
        <v>0</v>
      </c>
      <c r="X141" s="290">
        <f t="shared" si="37"/>
        <v>0</v>
      </c>
      <c r="Y141" s="237">
        <f t="shared" si="37"/>
        <v>0</v>
      </c>
    </row>
    <row r="142" spans="1:28" ht="20.100000000000001" customHeight="1" thickBot="1">
      <c r="L142" s="303"/>
      <c r="M142" s="303"/>
      <c r="N142" s="303"/>
      <c r="O142" s="253"/>
      <c r="P142" s="253"/>
      <c r="Q142" s="253"/>
      <c r="R142" s="304" t="str">
        <f t="shared" si="36"/>
        <v>保育士</v>
      </c>
      <c r="S142" s="305">
        <f t="shared" ref="S142:S146" si="38">SUMIFS(S$41:S$140,$J$41:$J$140,$R142)</f>
        <v>0</v>
      </c>
      <c r="T142" s="483">
        <f>SUM(SUMIFS(T$41:T$140,$J$41:$J$140,$R142),SUMIFS(T$28:T$32,$J$28:$J$32,$R142))</f>
        <v>0</v>
      </c>
      <c r="U142" s="293">
        <f t="shared" si="37"/>
        <v>0</v>
      </c>
      <c r="V142" s="248">
        <f t="shared" si="37"/>
        <v>0</v>
      </c>
      <c r="W142" s="248">
        <f t="shared" si="37"/>
        <v>0</v>
      </c>
      <c r="X142" s="248">
        <f t="shared" si="37"/>
        <v>0</v>
      </c>
      <c r="Y142" s="306">
        <f t="shared" si="37"/>
        <v>0</v>
      </c>
    </row>
    <row r="143" spans="1:28" ht="20.100000000000001" customHeight="1">
      <c r="L143" s="303"/>
      <c r="M143" s="303"/>
      <c r="N143" s="303"/>
      <c r="O143" s="134"/>
      <c r="P143" s="134"/>
      <c r="R143" s="304" t="str">
        <f t="shared" si="36"/>
        <v>栄養士</v>
      </c>
      <c r="S143" s="307">
        <f t="shared" si="38"/>
        <v>0</v>
      </c>
      <c r="T143" s="295">
        <f>SUMIFS(T$41:T$140,$J$41:$J$140,$R143)</f>
        <v>0</v>
      </c>
      <c r="U143" s="293">
        <f t="shared" si="37"/>
        <v>0</v>
      </c>
      <c r="V143" s="248">
        <f t="shared" si="37"/>
        <v>0</v>
      </c>
      <c r="W143" s="248">
        <f t="shared" si="37"/>
        <v>0</v>
      </c>
      <c r="X143" s="248">
        <f t="shared" si="37"/>
        <v>0</v>
      </c>
      <c r="Y143" s="306">
        <f t="shared" si="37"/>
        <v>0</v>
      </c>
    </row>
    <row r="144" spans="1:28" ht="20.100000000000001" customHeight="1">
      <c r="L144" s="303"/>
      <c r="M144" s="303"/>
      <c r="N144" s="303"/>
      <c r="O144" s="134"/>
      <c r="P144" s="134"/>
      <c r="R144" s="304" t="str">
        <f t="shared" si="36"/>
        <v>調理員</v>
      </c>
      <c r="S144" s="307">
        <f t="shared" si="38"/>
        <v>0</v>
      </c>
      <c r="T144" s="306">
        <f>SUMIFS(T$41:T$140,$J$41:$J$140,$R144)</f>
        <v>0</v>
      </c>
      <c r="U144" s="293">
        <f t="shared" si="37"/>
        <v>0</v>
      </c>
      <c r="V144" s="248">
        <f t="shared" si="37"/>
        <v>0</v>
      </c>
      <c r="W144" s="248">
        <f t="shared" si="37"/>
        <v>0</v>
      </c>
      <c r="X144" s="248">
        <f t="shared" si="37"/>
        <v>0</v>
      </c>
      <c r="Y144" s="306">
        <f t="shared" si="37"/>
        <v>0</v>
      </c>
    </row>
    <row r="145" spans="12:25" ht="20.100000000000001" customHeight="1">
      <c r="L145" s="303"/>
      <c r="M145" s="303"/>
      <c r="N145" s="303"/>
      <c r="O145" s="134"/>
      <c r="P145" s="134"/>
      <c r="R145" s="304" t="str">
        <f t="shared" si="36"/>
        <v>事務員</v>
      </c>
      <c r="S145" s="307">
        <f t="shared" si="38"/>
        <v>0</v>
      </c>
      <c r="T145" s="306">
        <f>SUMIFS(T$41:T$140,$J$41:$J$140,$R145)</f>
        <v>0</v>
      </c>
      <c r="U145" s="293">
        <f t="shared" si="37"/>
        <v>0</v>
      </c>
      <c r="V145" s="248">
        <f t="shared" si="37"/>
        <v>0</v>
      </c>
      <c r="W145" s="248">
        <f t="shared" si="37"/>
        <v>0</v>
      </c>
      <c r="X145" s="248">
        <f t="shared" si="37"/>
        <v>0</v>
      </c>
      <c r="Y145" s="306">
        <f t="shared" si="37"/>
        <v>0</v>
      </c>
    </row>
    <row r="146" spans="12:25" ht="12.75" thickBot="1">
      <c r="L146" s="148"/>
      <c r="M146" s="148"/>
      <c r="N146" s="148"/>
      <c r="O146" s="134"/>
      <c r="P146" s="134"/>
      <c r="R146" s="308" t="str">
        <f t="shared" si="36"/>
        <v>その他</v>
      </c>
      <c r="S146" s="309">
        <f t="shared" si="38"/>
        <v>0</v>
      </c>
      <c r="T146" s="299">
        <f>SUMIFS(T$41:T$140,$J$41:$J$140,$R146)</f>
        <v>0</v>
      </c>
      <c r="U146" s="297">
        <f t="shared" si="37"/>
        <v>0</v>
      </c>
      <c r="V146" s="263">
        <f t="shared" si="37"/>
        <v>0</v>
      </c>
      <c r="W146" s="263">
        <f t="shared" si="37"/>
        <v>0</v>
      </c>
      <c r="X146" s="263">
        <f t="shared" si="37"/>
        <v>0</v>
      </c>
      <c r="Y146" s="299">
        <f t="shared" si="37"/>
        <v>0</v>
      </c>
    </row>
    <row r="147" spans="12:25">
      <c r="L147" s="148"/>
      <c r="M147" s="148"/>
      <c r="N147" s="148"/>
      <c r="O147" s="134"/>
      <c r="P147" s="134"/>
      <c r="R147" s="374"/>
      <c r="T147" s="134"/>
      <c r="U147" s="149"/>
      <c r="V147" s="149"/>
    </row>
    <row r="148" spans="12:25">
      <c r="L148" s="148"/>
      <c r="M148" s="148"/>
      <c r="N148" s="148"/>
      <c r="O148" s="134"/>
      <c r="Q148" s="147"/>
      <c r="R148" s="374"/>
      <c r="T148" s="134"/>
      <c r="U148" s="149"/>
      <c r="V148" s="149"/>
    </row>
    <row r="149" spans="12:25">
      <c r="Q149" s="147"/>
      <c r="R149" s="374"/>
      <c r="S149" s="147"/>
      <c r="T149" s="147"/>
      <c r="U149" s="149"/>
    </row>
    <row r="150" spans="12:25">
      <c r="Q150" s="147"/>
      <c r="R150" s="374"/>
      <c r="S150" s="147"/>
      <c r="T150" s="147"/>
      <c r="U150" s="149"/>
    </row>
    <row r="151" spans="12:25">
      <c r="Q151" s="147"/>
      <c r="R151" s="374"/>
      <c r="S151" s="147"/>
      <c r="T151" s="147"/>
      <c r="U151" s="149"/>
    </row>
    <row r="152" spans="12:25">
      <c r="Q152" s="147"/>
      <c r="R152" s="374"/>
      <c r="S152" s="147"/>
      <c r="T152" s="147"/>
      <c r="U152" s="149"/>
      <c r="V152" s="253"/>
    </row>
    <row r="153" spans="12:25">
      <c r="Q153" s="147"/>
      <c r="R153" s="374"/>
      <c r="S153" s="147"/>
      <c r="T153" s="147"/>
      <c r="U153" s="149"/>
      <c r="V153" s="253"/>
    </row>
    <row r="154" spans="12:25">
      <c r="Q154" s="147"/>
      <c r="R154" s="374"/>
      <c r="S154" s="147"/>
      <c r="T154" s="147"/>
      <c r="U154" s="149"/>
      <c r="V154" s="253"/>
    </row>
    <row r="155" spans="12:25">
      <c r="L155" s="191"/>
      <c r="M155" s="191"/>
      <c r="N155" s="191"/>
      <c r="Q155" s="147"/>
      <c r="R155" s="374"/>
      <c r="S155" s="147"/>
      <c r="T155" s="147"/>
      <c r="U155" s="149"/>
      <c r="V155" s="252"/>
    </row>
    <row r="156" spans="12:25">
      <c r="P156" s="134"/>
      <c r="R156" s="374"/>
      <c r="S156" s="147"/>
      <c r="T156" s="147"/>
    </row>
    <row r="157" spans="12:25">
      <c r="L157" s="147"/>
      <c r="M157" s="147"/>
      <c r="N157" s="147"/>
      <c r="O157" s="134"/>
      <c r="P157" s="134"/>
      <c r="R157" s="374"/>
      <c r="T157" s="134"/>
    </row>
    <row r="158" spans="12:25">
      <c r="L158" s="147"/>
      <c r="M158" s="147"/>
      <c r="N158" s="147"/>
      <c r="O158" s="134"/>
      <c r="P158" s="134"/>
      <c r="R158" s="374"/>
      <c r="T158" s="134"/>
    </row>
    <row r="159" spans="12:25">
      <c r="L159" s="147"/>
      <c r="M159" s="147"/>
      <c r="N159" s="147"/>
      <c r="O159" s="134"/>
    </row>
  </sheetData>
  <sheetProtection algorithmName="SHA-512" hashValue="V1xdxGU+li52z8v11E8ETi5uliDFS5tGFdbm7VqHlTq0M+iwCf8E/pHnkfOKIN2HeDQAK3DSEyfz16Ng4V+x7w==" saltValue="lryl1cjJL5OV0jF+lV7M8Q==" spinCount="100000" sheet="1" objects="1" scenarios="1"/>
  <mergeCells count="56">
    <mergeCell ref="C36:G36"/>
    <mergeCell ref="C37:G37"/>
    <mergeCell ref="H1:J1"/>
    <mergeCell ref="A2:D2"/>
    <mergeCell ref="E2:F2"/>
    <mergeCell ref="B4:J4"/>
    <mergeCell ref="B5:D7"/>
    <mergeCell ref="F5:I5"/>
    <mergeCell ref="E6:E7"/>
    <mergeCell ref="F6:J7"/>
    <mergeCell ref="B17:J17"/>
    <mergeCell ref="A19:J19"/>
    <mergeCell ref="A20:J20"/>
    <mergeCell ref="A21:J21"/>
    <mergeCell ref="A22:J22"/>
    <mergeCell ref="B8:B10"/>
    <mergeCell ref="C8:F8"/>
    <mergeCell ref="G8:J8"/>
    <mergeCell ref="C9:E9"/>
    <mergeCell ref="F9:F10"/>
    <mergeCell ref="H9:I9"/>
    <mergeCell ref="J9:J10"/>
    <mergeCell ref="A25:B25"/>
    <mergeCell ref="C25:D25"/>
    <mergeCell ref="E25:G25"/>
    <mergeCell ref="I25:I27"/>
    <mergeCell ref="J25:J27"/>
    <mergeCell ref="A26:A27"/>
    <mergeCell ref="G26:G27"/>
    <mergeCell ref="H26:H27"/>
    <mergeCell ref="B26:B27"/>
    <mergeCell ref="C26:C27"/>
    <mergeCell ref="D26:D27"/>
    <mergeCell ref="E26:E27"/>
    <mergeCell ref="F26:F27"/>
    <mergeCell ref="M23:O23"/>
    <mergeCell ref="P23:Q23"/>
    <mergeCell ref="S23:T23"/>
    <mergeCell ref="U23:Y23"/>
    <mergeCell ref="AA23:AH23"/>
    <mergeCell ref="AD30:AE33"/>
    <mergeCell ref="A38:B38"/>
    <mergeCell ref="C38:D38"/>
    <mergeCell ref="E38:G38"/>
    <mergeCell ref="I38:I40"/>
    <mergeCell ref="J38:J40"/>
    <mergeCell ref="A39:A40"/>
    <mergeCell ref="B39:B40"/>
    <mergeCell ref="C39:C40"/>
    <mergeCell ref="D39:D40"/>
    <mergeCell ref="E39:E40"/>
    <mergeCell ref="F39:F40"/>
    <mergeCell ref="H39:H40"/>
    <mergeCell ref="B35:B37"/>
    <mergeCell ref="C35:G35"/>
    <mergeCell ref="J35:J37"/>
  </mergeCells>
  <phoneticPr fontId="1"/>
  <conditionalFormatting sqref="F41:F140">
    <cfRule type="expression" dxfId="50" priority="20">
      <formula>OR($E41="常勤",$E41="非常勤")</formula>
    </cfRule>
  </conditionalFormatting>
  <conditionalFormatting sqref="J41:K140 J28:K32">
    <cfRule type="containsText" dxfId="49" priority="19" operator="containsText" text="エラー">
      <formula>NOT(ISERROR(SEARCH("エラー",J28)))</formula>
    </cfRule>
  </conditionalFormatting>
  <conditionalFormatting sqref="G41:G140">
    <cfRule type="expression" dxfId="48" priority="21">
      <formula>$E41="非常勤"</formula>
    </cfRule>
  </conditionalFormatting>
  <conditionalFormatting sqref="F6">
    <cfRule type="expression" dxfId="47" priority="22">
      <formula>AND($F$5&gt;=150,NOT(ISTEXT($F$5)))</formula>
    </cfRule>
    <cfRule type="expression" dxfId="46" priority="23">
      <formula>AND($F$5&lt;150,NOT(ISTEXT($F$6)))</formula>
    </cfRule>
  </conditionalFormatting>
  <conditionalFormatting sqref="F5">
    <cfRule type="expression" dxfId="45" priority="24">
      <formula>OR($F$5=0,ISTEXT($F$5))</formula>
    </cfRule>
  </conditionalFormatting>
  <conditionalFormatting sqref="G39:G40">
    <cfRule type="containsText" dxfId="44" priority="18" operator="containsText" text="エラー">
      <formula>NOT(ISERROR(SEARCH("エラー",G39)))</formula>
    </cfRule>
  </conditionalFormatting>
  <conditionalFormatting sqref="F91:F109">
    <cfRule type="expression" dxfId="43" priority="16">
      <formula>OR($E91="常勤",$E91="非常勤")</formula>
    </cfRule>
  </conditionalFormatting>
  <conditionalFormatting sqref="J91:L109">
    <cfRule type="containsText" dxfId="42" priority="15" operator="containsText" text="エラー">
      <formula>NOT(ISERROR(SEARCH("エラー",J91)))</formula>
    </cfRule>
  </conditionalFormatting>
  <conditionalFormatting sqref="G91:G109">
    <cfRule type="expression" dxfId="41" priority="17">
      <formula>$E91="非常勤"</formula>
    </cfRule>
  </conditionalFormatting>
  <conditionalFormatting sqref="F128">
    <cfRule type="expression" dxfId="40" priority="13">
      <formula>OR($E128="常勤",$E128="非常勤")</formula>
    </cfRule>
  </conditionalFormatting>
  <conditionalFormatting sqref="J128:L128">
    <cfRule type="containsText" dxfId="39" priority="12" operator="containsText" text="エラー">
      <formula>NOT(ISERROR(SEARCH("エラー",J128)))</formula>
    </cfRule>
  </conditionalFormatting>
  <conditionalFormatting sqref="G128">
    <cfRule type="expression" dxfId="38" priority="14">
      <formula>$E128="非常勤"</formula>
    </cfRule>
  </conditionalFormatting>
  <conditionalFormatting sqref="G26:G27">
    <cfRule type="containsText" dxfId="37" priority="11" operator="containsText" text="エラー">
      <formula>NOT(ISERROR(SEARCH("エラー",G26)))</formula>
    </cfRule>
  </conditionalFormatting>
  <conditionalFormatting sqref="J32:K32">
    <cfRule type="containsText" dxfId="36" priority="9" operator="containsText" text="エラー">
      <formula>NOT(ISERROR(SEARCH("エラー",J32)))</formula>
    </cfRule>
  </conditionalFormatting>
  <conditionalFormatting sqref="G28:G32">
    <cfRule type="expression" dxfId="35" priority="8">
      <formula>ISTEXT($G28)</formula>
    </cfRule>
    <cfRule type="expression" dxfId="34" priority="10">
      <formula>$E28="委託"</formula>
    </cfRule>
  </conditionalFormatting>
  <conditionalFormatting sqref="J31:K31">
    <cfRule type="containsText" dxfId="33" priority="6" operator="containsText" text="エラー">
      <formula>NOT(ISERROR(SEARCH("エラー",J31)))</formula>
    </cfRule>
  </conditionalFormatting>
  <conditionalFormatting sqref="H41:H140 H28:H32">
    <cfRule type="expression" dxfId="32" priority="25">
      <formula>$H28&gt;$AF$26</formula>
    </cfRule>
  </conditionalFormatting>
  <conditionalFormatting sqref="H36:H37">
    <cfRule type="expression" dxfId="31" priority="5">
      <formula>AND($B$35&lt;&gt;"",$H$35="×")</formula>
    </cfRule>
  </conditionalFormatting>
  <conditionalFormatting sqref="I37">
    <cfRule type="expression" dxfId="30" priority="1">
      <formula>$I$37&lt;&gt;""</formula>
    </cfRule>
    <cfRule type="expression" dxfId="29" priority="2">
      <formula>$I$37="←入力漏れ"</formula>
    </cfRule>
    <cfRule type="expression" dxfId="28" priority="4">
      <formula>$I$37="研修終了証を要提出"</formula>
    </cfRule>
  </conditionalFormatting>
  <conditionalFormatting sqref="I36">
    <cfRule type="expression" dxfId="27" priority="3">
      <formula>$I$36="←入力漏れ"</formula>
    </cfRule>
  </conditionalFormatting>
  <dataValidations count="10">
    <dataValidation type="list" showInputMessage="1" showErrorMessage="1" sqref="D41:D140 D28:D32" xr:uid="{00000000-0002-0000-0A00-000000000000}">
      <formula1>$AB$25:$AB$29</formula1>
    </dataValidation>
    <dataValidation type="list" showInputMessage="1" showErrorMessage="1" sqref="E41:E140" xr:uid="{00000000-0002-0000-0A00-000001000000}">
      <formula1>$AC$25:$AC$28</formula1>
    </dataValidation>
    <dataValidation type="date" operator="lessThanOrEqual" allowBlank="1" showInputMessage="1" showErrorMessage="1" errorTitle="雇用開始月日が不正です。" sqref="H41:H140 H28:H32" xr:uid="{00000000-0002-0000-0A00-000002000000}">
      <formula1>$AF$26</formula1>
    </dataValidation>
    <dataValidation type="list" showInputMessage="1" showErrorMessage="1" sqref="F41:F140" xr:uid="{00000000-0002-0000-0A00-000003000000}">
      <formula1>INDIRECT($E41)</formula1>
    </dataValidation>
    <dataValidation type="decimal" errorStyle="warning" operator="greaterThanOrEqual" allowBlank="1" showInputMessage="1" showErrorMessage="1" errorTitle="150時間未満の場合" error="以下の理由欄に記載してください。" sqref="F5" xr:uid="{00000000-0002-0000-0A00-000004000000}">
      <formula1>150</formula1>
    </dataValidation>
    <dataValidation type="decimal" allowBlank="1" showInputMessage="1" showErrorMessage="1" sqref="G41:G140" xr:uid="{00000000-0002-0000-0A00-000005000000}">
      <formula1>0</formula1>
      <formula2>200</formula2>
    </dataValidation>
    <dataValidation type="list" showInputMessage="1" showErrorMessage="1" sqref="C41:C140" xr:uid="{00000000-0002-0000-0A00-000007000000}">
      <formula1>$AA$25:$AA$33</formula1>
    </dataValidation>
    <dataValidation type="decimal" operator="greaterThan" allowBlank="1" showInputMessage="1" showErrorMessage="1" sqref="G28:G32" xr:uid="{00000000-0002-0000-0A00-000006000000}">
      <formula1>0</formula1>
    </dataValidation>
    <dataValidation type="list" allowBlank="1" showInputMessage="1" showErrorMessage="1" sqref="H37" xr:uid="{A66FE75B-D715-413B-8EE7-5D1F911D49EB}">
      <formula1>$AH$25:$AH$28</formula1>
    </dataValidation>
    <dataValidation type="list" allowBlank="1" showInputMessage="1" showErrorMessage="1" sqref="H36" xr:uid="{3D482FEE-5756-49C3-8C98-81579E4502F9}">
      <formula1>$AG$25:$AG$27</formula1>
    </dataValidation>
  </dataValidations>
  <pageMargins left="0.59055118110236227" right="0.59055118110236227" top="0.55118110236220474" bottom="0.15748031496062992" header="0.31496062992125984" footer="0.31496062992125984"/>
  <pageSetup paperSize="9" scale="61" fitToHeight="2" orientation="portrait" r:id="rId1"/>
  <rowBreaks count="1" manualBreakCount="1">
    <brk id="96" max="9"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FF0000"/>
    <pageSetUpPr fitToPage="1"/>
  </sheetPr>
  <dimension ref="A1:AY107"/>
  <sheetViews>
    <sheetView view="pageBreakPreview" topLeftCell="B1" zoomScale="90" zoomScaleNormal="70" zoomScaleSheetLayoutView="90" workbookViewId="0">
      <pane xSplit="4" ySplit="6" topLeftCell="F7" activePane="bottomRight" state="frozen"/>
      <selection activeCell="D15" sqref="D15:D16"/>
      <selection pane="topRight" activeCell="D15" sqref="D15:D16"/>
      <selection pane="bottomLeft" activeCell="D15" sqref="D15:D16"/>
      <selection pane="bottomRight" activeCell="B1" sqref="B1:E1"/>
    </sheetView>
  </sheetViews>
  <sheetFormatPr defaultColWidth="9" defaultRowHeight="12" outlineLevelCol="1"/>
  <cols>
    <col min="1" max="1" width="4" style="73" hidden="1" customWidth="1"/>
    <col min="2" max="2" width="2.625" style="73" customWidth="1"/>
    <col min="3" max="3" width="20.125" style="73" customWidth="1"/>
    <col min="4" max="5" width="3.125" style="73" customWidth="1"/>
    <col min="6" max="36" width="5.625" style="73" customWidth="1"/>
    <col min="37" max="37" width="13.625" style="73" customWidth="1"/>
    <col min="38" max="38" width="50.625" style="73" customWidth="1"/>
    <col min="39" max="39" width="18" style="73" hidden="1" customWidth="1" outlineLevel="1"/>
    <col min="40" max="40" width="3.375" style="127" hidden="1" customWidth="1" outlineLevel="1"/>
    <col min="41" max="41" width="5" style="123" hidden="1" customWidth="1" outlineLevel="1"/>
    <col min="42" max="42" width="9" style="73" hidden="1" customWidth="1" outlineLevel="1"/>
    <col min="43" max="43" width="5" style="73" hidden="1" customWidth="1" outlineLevel="1"/>
    <col min="44" max="50" width="6.75" style="73" hidden="1" customWidth="1" outlineLevel="1"/>
    <col min="51" max="51" width="9" style="73" customWidth="1" collapsed="1"/>
    <col min="52" max="16384" width="9" style="73"/>
  </cols>
  <sheetData>
    <row r="1" spans="1:50" s="116" customFormat="1" ht="15" customHeight="1" thickBot="1">
      <c r="A1" s="110"/>
      <c r="B1" s="2192" t="s">
        <v>602</v>
      </c>
      <c r="C1" s="2192"/>
      <c r="D1" s="2192"/>
      <c r="E1" s="2192"/>
      <c r="F1" s="111"/>
      <c r="G1" s="2193" t="str">
        <f>AO1</f>
        <v/>
      </c>
      <c r="H1" s="2193"/>
      <c r="I1" s="128" t="s">
        <v>513</v>
      </c>
      <c r="J1" s="129">
        <f>AO2</f>
        <v>0</v>
      </c>
      <c r="K1" s="128" t="s">
        <v>514</v>
      </c>
      <c r="L1" s="2194" t="s">
        <v>515</v>
      </c>
      <c r="M1" s="2194"/>
      <c r="N1" s="2194"/>
      <c r="O1" s="2194"/>
      <c r="P1" s="2194"/>
      <c r="Q1" s="2194"/>
      <c r="R1" s="2194"/>
      <c r="S1" s="2194"/>
      <c r="T1" s="2194"/>
      <c r="U1" s="112"/>
      <c r="V1" s="112"/>
      <c r="W1" s="112"/>
      <c r="X1" s="112"/>
      <c r="Y1" s="112"/>
      <c r="Z1" s="112"/>
      <c r="AA1" s="112"/>
      <c r="AB1" s="112"/>
      <c r="AC1" s="2126" t="str">
        <f>AM2&amp;"様式3"&amp;AM3</f>
        <v>加-23_月申-様式3-保_Ver.2.01</v>
      </c>
      <c r="AD1" s="2126"/>
      <c r="AE1" s="2126"/>
      <c r="AF1" s="2126"/>
      <c r="AG1" s="2126"/>
      <c r="AH1" s="2126"/>
      <c r="AI1" s="2126"/>
      <c r="AJ1" s="2126"/>
      <c r="AK1" s="112"/>
      <c r="AL1" s="112"/>
      <c r="AM1" s="190" t="s">
        <v>1018</v>
      </c>
      <c r="AN1" s="109" t="s">
        <v>513</v>
      </c>
      <c r="AO1" s="113" t="str">
        <f>【様式１】総括表・個票!D10</f>
        <v/>
      </c>
      <c r="AP1" s="114"/>
      <c r="AQ1" s="413" t="s">
        <v>516</v>
      </c>
      <c r="AR1" s="115">
        <v>1</v>
      </c>
      <c r="AS1" s="115">
        <v>2</v>
      </c>
      <c r="AT1" s="115">
        <v>3</v>
      </c>
      <c r="AU1" s="115">
        <v>4</v>
      </c>
      <c r="AV1" s="115">
        <v>5</v>
      </c>
      <c r="AW1" s="115">
        <v>6</v>
      </c>
      <c r="AX1" s="115">
        <v>7</v>
      </c>
    </row>
    <row r="2" spans="1:50" ht="15" customHeight="1" thickBot="1">
      <c r="A2" s="117"/>
      <c r="B2" s="118" t="s">
        <v>517</v>
      </c>
      <c r="C2" s="2172" t="s">
        <v>881</v>
      </c>
      <c r="D2" s="2172"/>
      <c r="E2" s="2173"/>
      <c r="F2" s="2195" t="e">
        <f>【様式１】総括表・個票!W4</f>
        <v>#N/A</v>
      </c>
      <c r="G2" s="2196"/>
      <c r="H2" s="2196"/>
      <c r="I2" s="2196"/>
      <c r="J2" s="2197"/>
      <c r="K2" s="2179" t="s">
        <v>699</v>
      </c>
      <c r="L2" s="2152"/>
      <c r="M2" s="2152"/>
      <c r="N2" s="2152"/>
      <c r="O2" s="2152"/>
      <c r="P2" s="2152"/>
      <c r="Q2" s="2152"/>
      <c r="R2" s="2152"/>
      <c r="S2" s="2152"/>
      <c r="T2" s="2152"/>
      <c r="U2" s="2152"/>
      <c r="V2" s="2152"/>
      <c r="W2" s="2152"/>
      <c r="X2" s="2152"/>
      <c r="Y2" s="2152"/>
      <c r="Z2" s="2152"/>
      <c r="AA2" s="2182" t="s">
        <v>1081</v>
      </c>
      <c r="AB2" s="2183"/>
      <c r="AC2" s="2198"/>
      <c r="AD2" s="2199"/>
      <c r="AE2" s="71" t="s">
        <v>518</v>
      </c>
      <c r="AF2" s="2182" t="s">
        <v>882</v>
      </c>
      <c r="AG2" s="2182"/>
      <c r="AH2" s="2200">
        <f>SUM(AC2,ROUND(AC3/60,2))</f>
        <v>0</v>
      </c>
      <c r="AI2" s="2201"/>
      <c r="AJ2" s="2170" t="s">
        <v>519</v>
      </c>
      <c r="AK2" s="119"/>
      <c r="AL2" s="119"/>
      <c r="AM2" s="190" t="str">
        <f>【様式１】総括表・個票!$AJ$2</f>
        <v>加-23_月申-</v>
      </c>
      <c r="AN2" s="113" t="s">
        <v>520</v>
      </c>
      <c r="AO2" s="113">
        <f>【様式１】総括表・個票!I10</f>
        <v>0</v>
      </c>
      <c r="AP2" s="120"/>
      <c r="AQ2" s="413" t="s">
        <v>521</v>
      </c>
      <c r="AR2" s="414" t="s">
        <v>522</v>
      </c>
      <c r="AS2" s="415" t="s">
        <v>523</v>
      </c>
      <c r="AT2" s="415" t="s">
        <v>524</v>
      </c>
      <c r="AU2" s="415" t="s">
        <v>525</v>
      </c>
      <c r="AV2" s="415" t="s">
        <v>526</v>
      </c>
      <c r="AW2" s="415" t="s">
        <v>527</v>
      </c>
      <c r="AX2" s="416" t="s">
        <v>528</v>
      </c>
    </row>
    <row r="3" spans="1:50" ht="15" customHeight="1" thickBot="1">
      <c r="A3" s="121"/>
      <c r="B3" s="118" t="s">
        <v>883</v>
      </c>
      <c r="C3" s="2172" t="s">
        <v>2</v>
      </c>
      <c r="D3" s="2172"/>
      <c r="E3" s="2173"/>
      <c r="F3" s="2174">
        <f>【様式１】総括表・個票!D12</f>
        <v>0</v>
      </c>
      <c r="G3" s="2175"/>
      <c r="H3" s="2175"/>
      <c r="I3" s="2175"/>
      <c r="J3" s="2176"/>
      <c r="K3" s="2180" t="s">
        <v>600</v>
      </c>
      <c r="L3" s="2181"/>
      <c r="M3" s="2181"/>
      <c r="N3" s="2181"/>
      <c r="O3" s="2181"/>
      <c r="P3" s="2181"/>
      <c r="Q3" s="2181"/>
      <c r="R3" s="2181"/>
      <c r="S3" s="2181"/>
      <c r="T3" s="2181"/>
      <c r="U3" s="2181"/>
      <c r="V3" s="2181"/>
      <c r="W3" s="2181"/>
      <c r="X3" s="2181"/>
      <c r="Y3" s="2181"/>
      <c r="Z3" s="2181"/>
      <c r="AA3" s="2184"/>
      <c r="AB3" s="2185"/>
      <c r="AC3" s="2177"/>
      <c r="AD3" s="2178"/>
      <c r="AE3" s="72" t="s">
        <v>529</v>
      </c>
      <c r="AF3" s="2184"/>
      <c r="AG3" s="2184"/>
      <c r="AH3" s="2202"/>
      <c r="AI3" s="2185"/>
      <c r="AJ3" s="2171"/>
      <c r="AK3" s="189" t="s">
        <v>866</v>
      </c>
      <c r="AL3" s="122"/>
      <c r="AM3" s="190" t="str">
        <f>【様式１】総括表・個票!$AJ$3</f>
        <v>-保_Ver.2.01</v>
      </c>
      <c r="AN3" s="123"/>
      <c r="AP3" s="124"/>
      <c r="AQ3" s="417"/>
      <c r="AR3" s="125"/>
    </row>
    <row r="4" spans="1:50" ht="15" customHeight="1">
      <c r="A4" s="121"/>
      <c r="B4" s="2186" t="s">
        <v>884</v>
      </c>
      <c r="C4" s="2188" t="s">
        <v>530</v>
      </c>
      <c r="D4" s="2190" t="s">
        <v>531</v>
      </c>
      <c r="E4" s="2191"/>
      <c r="F4" s="613">
        <v>1</v>
      </c>
      <c r="G4" s="613">
        <v>2</v>
      </c>
      <c r="H4" s="613">
        <v>3</v>
      </c>
      <c r="I4" s="613">
        <v>4</v>
      </c>
      <c r="J4" s="613">
        <v>5</v>
      </c>
      <c r="K4" s="613">
        <v>6</v>
      </c>
      <c r="L4" s="613">
        <v>7</v>
      </c>
      <c r="M4" s="613">
        <v>8</v>
      </c>
      <c r="N4" s="613">
        <v>9</v>
      </c>
      <c r="O4" s="613">
        <v>10</v>
      </c>
      <c r="P4" s="613">
        <v>11</v>
      </c>
      <c r="Q4" s="613">
        <v>12</v>
      </c>
      <c r="R4" s="613">
        <v>13</v>
      </c>
      <c r="S4" s="613">
        <v>14</v>
      </c>
      <c r="T4" s="613">
        <v>15</v>
      </c>
      <c r="U4" s="613">
        <v>16</v>
      </c>
      <c r="V4" s="613">
        <v>17</v>
      </c>
      <c r="W4" s="613">
        <v>18</v>
      </c>
      <c r="X4" s="613">
        <v>19</v>
      </c>
      <c r="Y4" s="613">
        <v>20</v>
      </c>
      <c r="Z4" s="613">
        <v>21</v>
      </c>
      <c r="AA4" s="613">
        <v>22</v>
      </c>
      <c r="AB4" s="613">
        <v>23</v>
      </c>
      <c r="AC4" s="613">
        <v>24</v>
      </c>
      <c r="AD4" s="613">
        <v>25</v>
      </c>
      <c r="AE4" s="613">
        <v>26</v>
      </c>
      <c r="AF4" s="613">
        <v>27</v>
      </c>
      <c r="AG4" s="613">
        <v>28</v>
      </c>
      <c r="AH4" s="613" t="e">
        <f>IF(AG4="","",IF(MONTH(DATE($AO$1,$AO$2,AG4+1))=$AO$2,AG4+1,""))</f>
        <v>#VALUE!</v>
      </c>
      <c r="AI4" s="613" t="e">
        <f t="shared" ref="AI4" si="0">IF(AH4="","",IF(MONTH(DATE($AO$1,$AO$2,AH4+1))=$AO$2,AH4+1,""))</f>
        <v>#VALUE!</v>
      </c>
      <c r="AJ4" s="613" t="e">
        <f>IF(AI4="","",IF(MONTH(DATE($AO$1,$AO$2,AI4+1))=$AO$2,AI4+1,""))</f>
        <v>#VALUE!</v>
      </c>
      <c r="AK4" s="2162" t="s">
        <v>22</v>
      </c>
      <c r="AL4" s="126"/>
      <c r="AM4" s="126"/>
      <c r="AN4" s="73"/>
      <c r="AO4" s="73"/>
      <c r="AQ4" s="417"/>
    </row>
    <row r="5" spans="1:50" ht="15" customHeight="1">
      <c r="A5" s="121"/>
      <c r="B5" s="2187"/>
      <c r="C5" s="2189"/>
      <c r="D5" s="2164" t="s">
        <v>867</v>
      </c>
      <c r="E5" s="2165"/>
      <c r="F5" s="614" t="e">
        <f>IF(F4&lt;&gt;"",IF(OR(WEEKDAY(DATE($AO$1,$AO$2,F$4),2)&gt;6,COUNTIF('休日情報(要更新)'!$A$5:$J$32,DATE($AO$1,$AO$2,F$4)) &gt;=1),"○",""),"")</f>
        <v>#VALUE!</v>
      </c>
      <c r="G5" s="614" t="e">
        <f>IF(G4&lt;&gt;"",IF(OR(WEEKDAY(DATE($AO$1,$AO$2,G$4),2)&gt;6,COUNTIF('休日情報(要更新)'!$A$5:$J$32,DATE($AO$1,$AO$2,G$4)) &gt;=1),"○",""),"")</f>
        <v>#VALUE!</v>
      </c>
      <c r="H5" s="614" t="e">
        <f>IF(H4&lt;&gt;"",IF(OR(WEEKDAY(DATE($AO$1,$AO$2,H$4),2)&gt;6,COUNTIF('休日情報(要更新)'!$A$5:$J$32,DATE($AO$1,$AO$2,H$4)) &gt;=1),"○",""),"")</f>
        <v>#VALUE!</v>
      </c>
      <c r="I5" s="614" t="e">
        <f>IF(I4&lt;&gt;"",IF(OR(WEEKDAY(DATE($AO$1,$AO$2,I$4),2)&gt;6,COUNTIF('休日情報(要更新)'!$A$5:$J$32,DATE($AO$1,$AO$2,I$4)) &gt;=1),"○",""),"")</f>
        <v>#VALUE!</v>
      </c>
      <c r="J5" s="614" t="e">
        <f>IF(J4&lt;&gt;"",IF(OR(WEEKDAY(DATE($AO$1,$AO$2,J$4),2)&gt;6,COUNTIF('休日情報(要更新)'!$A$5:$J$32,DATE($AO$1,$AO$2,J$4)) &gt;=1),"○",""),"")</f>
        <v>#VALUE!</v>
      </c>
      <c r="K5" s="614" t="e">
        <f>IF(K4&lt;&gt;"",IF(OR(WEEKDAY(DATE($AO$1,$AO$2,K$4),2)&gt;6,COUNTIF('休日情報(要更新)'!$A$5:$J$32,DATE($AO$1,$AO$2,K$4)) &gt;=1),"○",""),"")</f>
        <v>#VALUE!</v>
      </c>
      <c r="L5" s="614" t="e">
        <f>IF(L4&lt;&gt;"",IF(OR(WEEKDAY(DATE($AO$1,$AO$2,L$4),2)&gt;6,COUNTIF('休日情報(要更新)'!$A$5:$J$32,DATE($AO$1,$AO$2,L$4)) &gt;=1),"○",""),"")</f>
        <v>#VALUE!</v>
      </c>
      <c r="M5" s="614" t="e">
        <f>IF(M4&lt;&gt;"",IF(OR(WEEKDAY(DATE($AO$1,$AO$2,M$4),2)&gt;6,COUNTIF('休日情報(要更新)'!$A$5:$J$32,DATE($AO$1,$AO$2,M$4)) &gt;=1),"○",""),"")</f>
        <v>#VALUE!</v>
      </c>
      <c r="N5" s="614" t="e">
        <f>IF(N4&lt;&gt;"",IF(OR(WEEKDAY(DATE($AO$1,$AO$2,N$4),2)&gt;6,COUNTIF('休日情報(要更新)'!$A$5:$J$32,DATE($AO$1,$AO$2,N$4)) &gt;=1),"○",""),"")</f>
        <v>#VALUE!</v>
      </c>
      <c r="O5" s="614" t="e">
        <f>IF(O4&lt;&gt;"",IF(OR(WEEKDAY(DATE($AO$1,$AO$2,O$4),2)&gt;6,COUNTIF('休日情報(要更新)'!$A$5:$J$32,DATE($AO$1,$AO$2,O$4)) &gt;=1),"○",""),"")</f>
        <v>#VALUE!</v>
      </c>
      <c r="P5" s="614" t="e">
        <f>IF(P4&lt;&gt;"",IF(OR(WEEKDAY(DATE($AO$1,$AO$2,P$4),2)&gt;6,COUNTIF('休日情報(要更新)'!$A$5:$J$32,DATE($AO$1,$AO$2,P$4)) &gt;=1),"○",""),"")</f>
        <v>#VALUE!</v>
      </c>
      <c r="Q5" s="614" t="e">
        <f>IF(Q4&lt;&gt;"",IF(OR(WEEKDAY(DATE($AO$1,$AO$2,Q$4),2)&gt;6,COUNTIF('休日情報(要更新)'!$A$5:$J$32,DATE($AO$1,$AO$2,Q$4)) &gt;=1),"○",""),"")</f>
        <v>#VALUE!</v>
      </c>
      <c r="R5" s="614" t="e">
        <f>IF(R4&lt;&gt;"",IF(OR(WEEKDAY(DATE($AO$1,$AO$2,R$4),2)&gt;6,COUNTIF('休日情報(要更新)'!$A$5:$J$32,DATE($AO$1,$AO$2,R$4)) &gt;=1),"○",""),"")</f>
        <v>#VALUE!</v>
      </c>
      <c r="S5" s="614" t="e">
        <f>IF(S4&lt;&gt;"",IF(OR(WEEKDAY(DATE($AO$1,$AO$2,S$4),2)&gt;6,COUNTIF('休日情報(要更新)'!$A$5:$J$32,DATE($AO$1,$AO$2,S$4)) &gt;=1),"○",""),"")</f>
        <v>#VALUE!</v>
      </c>
      <c r="T5" s="614" t="e">
        <f>IF(T4&lt;&gt;"",IF(OR(WEEKDAY(DATE($AO$1,$AO$2,T$4),2)&gt;6,COUNTIF('休日情報(要更新)'!$A$5:$J$32,DATE($AO$1,$AO$2,T$4)) &gt;=1),"○",""),"")</f>
        <v>#VALUE!</v>
      </c>
      <c r="U5" s="614" t="e">
        <f>IF(U4&lt;&gt;"",IF(OR(WEEKDAY(DATE($AO$1,$AO$2,U$4),2)&gt;6,COUNTIF('休日情報(要更新)'!$A$5:$J$32,DATE($AO$1,$AO$2,U$4)) &gt;=1),"○",""),"")</f>
        <v>#VALUE!</v>
      </c>
      <c r="V5" s="614" t="e">
        <f>IF(V4&lt;&gt;"",IF(OR(WEEKDAY(DATE($AO$1,$AO$2,V$4),2)&gt;6,COUNTIF('休日情報(要更新)'!$A$5:$J$32,DATE($AO$1,$AO$2,V$4)) &gt;=1),"○",""),"")</f>
        <v>#VALUE!</v>
      </c>
      <c r="W5" s="614" t="e">
        <f>IF(W4&lt;&gt;"",IF(OR(WEEKDAY(DATE($AO$1,$AO$2,W$4),2)&gt;6,COUNTIF('休日情報(要更新)'!$A$5:$J$32,DATE($AO$1,$AO$2,W$4)) &gt;=1),"○",""),"")</f>
        <v>#VALUE!</v>
      </c>
      <c r="X5" s="614" t="e">
        <f>IF(X4&lt;&gt;"",IF(OR(WEEKDAY(DATE($AO$1,$AO$2,X$4),2)&gt;6,COUNTIF('休日情報(要更新)'!$A$5:$J$32,DATE($AO$1,$AO$2,X$4)) &gt;=1),"○",""),"")</f>
        <v>#VALUE!</v>
      </c>
      <c r="Y5" s="614" t="e">
        <f>IF(Y4&lt;&gt;"",IF(OR(WEEKDAY(DATE($AO$1,$AO$2,Y$4),2)&gt;6,COUNTIF('休日情報(要更新)'!$A$5:$J$32,DATE($AO$1,$AO$2,Y$4)) &gt;=1),"○",""),"")</f>
        <v>#VALUE!</v>
      </c>
      <c r="Z5" s="614" t="e">
        <f>IF(Z4&lt;&gt;"",IF(OR(WEEKDAY(DATE($AO$1,$AO$2,Z$4),2)&gt;6,COUNTIF('休日情報(要更新)'!$A$5:$J$32,DATE($AO$1,$AO$2,Z$4)) &gt;=1),"○",""),"")</f>
        <v>#VALUE!</v>
      </c>
      <c r="AA5" s="614" t="e">
        <f>IF(AA4&lt;&gt;"",IF(OR(WEEKDAY(DATE($AO$1,$AO$2,AA$4),2)&gt;6,COUNTIF('休日情報(要更新)'!$A$5:$J$32,DATE($AO$1,$AO$2,AA$4)) &gt;=1),"○",""),"")</f>
        <v>#VALUE!</v>
      </c>
      <c r="AB5" s="614" t="e">
        <f>IF(AB4&lt;&gt;"",IF(OR(WEEKDAY(DATE($AO$1,$AO$2,AB$4),2)&gt;6,COUNTIF('休日情報(要更新)'!$A$5:$J$32,DATE($AO$1,$AO$2,AB$4)) &gt;=1),"○",""),"")</f>
        <v>#VALUE!</v>
      </c>
      <c r="AC5" s="614" t="e">
        <f>IF(AC4&lt;&gt;"",IF(OR(WEEKDAY(DATE($AO$1,$AO$2,AC$4),2)&gt;6,COUNTIF('休日情報(要更新)'!$A$5:$J$32,DATE($AO$1,$AO$2,AC$4)) &gt;=1),"○",""),"")</f>
        <v>#VALUE!</v>
      </c>
      <c r="AD5" s="614" t="e">
        <f>IF(AD4&lt;&gt;"",IF(OR(WEEKDAY(DATE($AO$1,$AO$2,AD$4),2)&gt;6,COUNTIF('休日情報(要更新)'!$A$5:$J$32,DATE($AO$1,$AO$2,AD$4)) &gt;=1),"○",""),"")</f>
        <v>#VALUE!</v>
      </c>
      <c r="AE5" s="614" t="e">
        <f>IF(AE4&lt;&gt;"",IF(OR(WEEKDAY(DATE($AO$1,$AO$2,AE$4),2)&gt;6,COUNTIF('休日情報(要更新)'!$A$5:$J$32,DATE($AO$1,$AO$2,AE$4)) &gt;=1),"○",""),"")</f>
        <v>#VALUE!</v>
      </c>
      <c r="AF5" s="614" t="e">
        <f>IF(AF4&lt;&gt;"",IF(OR(WEEKDAY(DATE($AO$1,$AO$2,AF$4),2)&gt;6,COUNTIF('休日情報(要更新)'!$A$5:$J$32,DATE($AO$1,$AO$2,AF$4)) &gt;=1),"○",""),"")</f>
        <v>#VALUE!</v>
      </c>
      <c r="AG5" s="614" t="e">
        <f>IF(AG4&lt;&gt;"",IF(OR(WEEKDAY(DATE($AO$1,$AO$2,AG$4),2)&gt;6,COUNTIF('休日情報(要更新)'!$A$5:$J$32,DATE($AO$1,$AO$2,AG$4)) &gt;=1),"○",""),"")</f>
        <v>#VALUE!</v>
      </c>
      <c r="AH5" s="614" t="e">
        <f>IF(AH4&lt;&gt;"",IF(OR(WEEKDAY(DATE($AO$1,$AO$2,AH$4),2)&gt;6,COUNTIF('休日情報(要更新)'!$A$5:$J$32,DATE($AO$1,$AO$2,AH$4)) &gt;=1),"○",""),"")</f>
        <v>#VALUE!</v>
      </c>
      <c r="AI5" s="614" t="e">
        <f>IF(AI4&lt;&gt;"",IF(OR(WEEKDAY(DATE($AO$1,$AO$2,AI$4),2)&gt;6,COUNTIF('休日情報(要更新)'!$A$5:$J$32,DATE($AO$1,$AO$2,AI$4)) &gt;=1),"○",""),"")</f>
        <v>#VALUE!</v>
      </c>
      <c r="AJ5" s="614" t="e">
        <f>IF(AJ4&lt;&gt;"",IF(OR(WEEKDAY(DATE($AO$1,$AO$2,AJ$4),2)&gt;6,COUNTIF('休日情報(要更新)'!$A$5:$J$32,DATE($AO$1,$AO$2,AJ$4)) &gt;=1),"○",""),"")</f>
        <v>#VALUE!</v>
      </c>
      <c r="AK5" s="2163"/>
      <c r="AL5" s="126"/>
      <c r="AM5" s="126"/>
      <c r="AN5" s="73"/>
      <c r="AO5" s="73"/>
      <c r="AQ5" s="417"/>
    </row>
    <row r="6" spans="1:50" ht="15" customHeight="1" thickBot="1">
      <c r="A6" s="121"/>
      <c r="B6" s="2187"/>
      <c r="C6" s="2171"/>
      <c r="D6" s="2166" t="s">
        <v>532</v>
      </c>
      <c r="E6" s="2167"/>
      <c r="F6" s="960" t="e">
        <f t="shared" ref="F6:AG6" si="1">HLOOKUP(WEEKDAY(DATE($AO$1,$AO$2,F$4)),$AR$1:$AX$2,2,FALSE)</f>
        <v>#VALUE!</v>
      </c>
      <c r="G6" s="960" t="e">
        <f t="shared" si="1"/>
        <v>#VALUE!</v>
      </c>
      <c r="H6" s="960" t="e">
        <f t="shared" si="1"/>
        <v>#VALUE!</v>
      </c>
      <c r="I6" s="960" t="e">
        <f t="shared" si="1"/>
        <v>#VALUE!</v>
      </c>
      <c r="J6" s="960" t="e">
        <f t="shared" si="1"/>
        <v>#VALUE!</v>
      </c>
      <c r="K6" s="960" t="e">
        <f t="shared" si="1"/>
        <v>#VALUE!</v>
      </c>
      <c r="L6" s="960" t="e">
        <f t="shared" si="1"/>
        <v>#VALUE!</v>
      </c>
      <c r="M6" s="960" t="e">
        <f t="shared" si="1"/>
        <v>#VALUE!</v>
      </c>
      <c r="N6" s="960" t="e">
        <f t="shared" si="1"/>
        <v>#VALUE!</v>
      </c>
      <c r="O6" s="960" t="e">
        <f t="shared" si="1"/>
        <v>#VALUE!</v>
      </c>
      <c r="P6" s="960" t="e">
        <f t="shared" si="1"/>
        <v>#VALUE!</v>
      </c>
      <c r="Q6" s="960" t="e">
        <f t="shared" si="1"/>
        <v>#VALUE!</v>
      </c>
      <c r="R6" s="960" t="e">
        <f t="shared" si="1"/>
        <v>#VALUE!</v>
      </c>
      <c r="S6" s="960" t="e">
        <f t="shared" si="1"/>
        <v>#VALUE!</v>
      </c>
      <c r="T6" s="960" t="e">
        <f t="shared" si="1"/>
        <v>#VALUE!</v>
      </c>
      <c r="U6" s="960" t="e">
        <f t="shared" si="1"/>
        <v>#VALUE!</v>
      </c>
      <c r="V6" s="960" t="e">
        <f t="shared" si="1"/>
        <v>#VALUE!</v>
      </c>
      <c r="W6" s="960" t="e">
        <f t="shared" si="1"/>
        <v>#VALUE!</v>
      </c>
      <c r="X6" s="960" t="e">
        <f t="shared" si="1"/>
        <v>#VALUE!</v>
      </c>
      <c r="Y6" s="960" t="e">
        <f t="shared" si="1"/>
        <v>#VALUE!</v>
      </c>
      <c r="Z6" s="960" t="e">
        <f t="shared" si="1"/>
        <v>#VALUE!</v>
      </c>
      <c r="AA6" s="960" t="e">
        <f t="shared" si="1"/>
        <v>#VALUE!</v>
      </c>
      <c r="AB6" s="960" t="e">
        <f t="shared" si="1"/>
        <v>#VALUE!</v>
      </c>
      <c r="AC6" s="960" t="e">
        <f t="shared" si="1"/>
        <v>#VALUE!</v>
      </c>
      <c r="AD6" s="960" t="e">
        <f t="shared" si="1"/>
        <v>#VALUE!</v>
      </c>
      <c r="AE6" s="960" t="e">
        <f t="shared" si="1"/>
        <v>#VALUE!</v>
      </c>
      <c r="AF6" s="960" t="e">
        <f t="shared" si="1"/>
        <v>#VALUE!</v>
      </c>
      <c r="AG6" s="960" t="e">
        <f t="shared" si="1"/>
        <v>#VALUE!</v>
      </c>
      <c r="AH6" s="960" t="e">
        <f>IF(AH4&lt;&gt;"",HLOOKUP(WEEKDAY(DATE($AO$1,$AO$2,AH$4)),$AR$1:$AX$2,2,FALSE),"")</f>
        <v>#VALUE!</v>
      </c>
      <c r="AI6" s="960" t="e">
        <f>IF(AI4&lt;&gt;"",HLOOKUP(WEEKDAY(DATE($AO$1,$AO$2,AI$4)),$AR$1:$AX$2,2,FALSE),"")</f>
        <v>#VALUE!</v>
      </c>
      <c r="AJ6" s="960" t="e">
        <f>IF(AJ4&lt;&gt;"",HLOOKUP(WEEKDAY(DATE($AO$1,$AO$2,AJ$4)),$AR$1:$AX$2,2,FALSE),"")</f>
        <v>#VALUE!</v>
      </c>
      <c r="AK6" s="2163"/>
      <c r="AL6" s="126"/>
      <c r="AM6" s="126"/>
      <c r="AN6" s="73"/>
      <c r="AO6" s="73"/>
      <c r="AQ6" s="417"/>
    </row>
    <row r="7" spans="1:50" ht="15" customHeight="1">
      <c r="A7" s="121"/>
      <c r="B7" s="163">
        <f>ROW()-6</f>
        <v>1</v>
      </c>
      <c r="C7" s="615" t="str">
        <f>IFERROR(INDEX(【様式2】職員名簿!$B$41:$B$140,MATCH($B7,【様式2】職員名簿!$O$41:$O$140,0),1),"")</f>
        <v/>
      </c>
      <c r="D7" s="2168" t="s">
        <v>533</v>
      </c>
      <c r="E7" s="2169"/>
      <c r="F7" s="164"/>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4"/>
      <c r="AG7" s="164"/>
      <c r="AH7" s="164"/>
      <c r="AI7" s="164"/>
      <c r="AJ7" s="164"/>
      <c r="AK7" s="620">
        <f>MIN(SUMIF($F$4:$AJ$4,"&gt;0",F7:AJ7),【様式2】職員名簿!$F$5)</f>
        <v>0</v>
      </c>
      <c r="AL7" s="152"/>
      <c r="AM7" s="152"/>
      <c r="AN7" s="73"/>
      <c r="AO7" s="73"/>
      <c r="AQ7" s="417"/>
    </row>
    <row r="8" spans="1:50" ht="15" customHeight="1">
      <c r="B8" s="165">
        <f t="shared" ref="B8:B106" si="2">ROW()-6</f>
        <v>2</v>
      </c>
      <c r="C8" s="616" t="str">
        <f>IFERROR(INDEX(【様式2】職員名簿!$B$41:$B$140,MATCH($B8,【様式2】職員名簿!$O$41:$O$140,0),1),"")</f>
        <v/>
      </c>
      <c r="D8" s="2160" t="s">
        <v>533</v>
      </c>
      <c r="E8" s="2161"/>
      <c r="F8" s="166"/>
      <c r="G8" s="166"/>
      <c r="H8" s="166"/>
      <c r="I8" s="166"/>
      <c r="J8" s="166"/>
      <c r="K8" s="166"/>
      <c r="L8" s="166"/>
      <c r="M8" s="166"/>
      <c r="N8" s="166"/>
      <c r="O8" s="166"/>
      <c r="P8" s="166"/>
      <c r="Q8" s="166"/>
      <c r="R8" s="166"/>
      <c r="S8" s="166"/>
      <c r="T8" s="166"/>
      <c r="U8" s="166"/>
      <c r="V8" s="166"/>
      <c r="W8" s="166"/>
      <c r="X8" s="166"/>
      <c r="Y8" s="166"/>
      <c r="Z8" s="166"/>
      <c r="AA8" s="166"/>
      <c r="AB8" s="166"/>
      <c r="AC8" s="166"/>
      <c r="AD8" s="166"/>
      <c r="AE8" s="166"/>
      <c r="AF8" s="166"/>
      <c r="AG8" s="166"/>
      <c r="AH8" s="166"/>
      <c r="AI8" s="166"/>
      <c r="AJ8" s="166"/>
      <c r="AK8" s="621">
        <f>MIN(SUMIF($F$4:$AJ$4,"&gt;0",F8:AJ8),【様式2】職員名簿!$F$5)</f>
        <v>0</v>
      </c>
    </row>
    <row r="9" spans="1:50" ht="15" customHeight="1">
      <c r="B9" s="165">
        <f t="shared" si="2"/>
        <v>3</v>
      </c>
      <c r="C9" s="616" t="str">
        <f>IFERROR(INDEX(【様式2】職員名簿!$B$41:$B$140,MATCH($B9,【様式2】職員名簿!$O$41:$O$140,0),1),"")</f>
        <v/>
      </c>
      <c r="D9" s="2160" t="s">
        <v>533</v>
      </c>
      <c r="E9" s="2161"/>
      <c r="F9" s="166"/>
      <c r="G9" s="166"/>
      <c r="H9" s="166"/>
      <c r="I9" s="166"/>
      <c r="J9" s="166"/>
      <c r="K9" s="166"/>
      <c r="L9" s="166"/>
      <c r="M9" s="166"/>
      <c r="N9" s="166"/>
      <c r="O9" s="166"/>
      <c r="P9" s="166"/>
      <c r="Q9" s="166"/>
      <c r="R9" s="166"/>
      <c r="S9" s="166"/>
      <c r="T9" s="166"/>
      <c r="U9" s="166"/>
      <c r="V9" s="166"/>
      <c r="W9" s="166"/>
      <c r="X9" s="166"/>
      <c r="Y9" s="166"/>
      <c r="Z9" s="166"/>
      <c r="AA9" s="166"/>
      <c r="AB9" s="166"/>
      <c r="AC9" s="166"/>
      <c r="AD9" s="166"/>
      <c r="AE9" s="166"/>
      <c r="AF9" s="166"/>
      <c r="AG9" s="166"/>
      <c r="AH9" s="166"/>
      <c r="AI9" s="166"/>
      <c r="AJ9" s="166"/>
      <c r="AK9" s="621">
        <f>MIN(SUMIF($F$4:$AJ$4,"&gt;0",F9:AJ9),【様式2】職員名簿!$F$5)</f>
        <v>0</v>
      </c>
    </row>
    <row r="10" spans="1:50" ht="15" customHeight="1">
      <c r="B10" s="165">
        <f t="shared" si="2"/>
        <v>4</v>
      </c>
      <c r="C10" s="616" t="str">
        <f>IFERROR(INDEX(【様式2】職員名簿!$B$41:$B$140,MATCH($B10,【様式2】職員名簿!$O$41:$O$140,0),1),"")</f>
        <v/>
      </c>
      <c r="D10" s="2160" t="s">
        <v>533</v>
      </c>
      <c r="E10" s="2161"/>
      <c r="F10" s="166"/>
      <c r="G10" s="166"/>
      <c r="H10" s="166"/>
      <c r="I10" s="166"/>
      <c r="J10" s="166"/>
      <c r="K10" s="166"/>
      <c r="L10" s="166"/>
      <c r="M10" s="166"/>
      <c r="N10" s="166"/>
      <c r="O10" s="166"/>
      <c r="P10" s="166"/>
      <c r="Q10" s="166"/>
      <c r="R10" s="166"/>
      <c r="S10" s="166"/>
      <c r="T10" s="166"/>
      <c r="U10" s="166"/>
      <c r="V10" s="166"/>
      <c r="W10" s="166"/>
      <c r="X10" s="166"/>
      <c r="Y10" s="166"/>
      <c r="Z10" s="166"/>
      <c r="AA10" s="166"/>
      <c r="AB10" s="166"/>
      <c r="AC10" s="166"/>
      <c r="AD10" s="166"/>
      <c r="AE10" s="166"/>
      <c r="AF10" s="166"/>
      <c r="AG10" s="166"/>
      <c r="AH10" s="166"/>
      <c r="AI10" s="166"/>
      <c r="AJ10" s="166"/>
      <c r="AK10" s="621">
        <f>MIN(SUMIF($F$4:$AJ$4,"&gt;0",F10:AJ10),【様式2】職員名簿!$F$5)</f>
        <v>0</v>
      </c>
    </row>
    <row r="11" spans="1:50" ht="15" customHeight="1">
      <c r="B11" s="165">
        <f t="shared" si="2"/>
        <v>5</v>
      </c>
      <c r="C11" s="616" t="str">
        <f>IFERROR(INDEX(【様式2】職員名簿!$B$41:$B$140,MATCH($B11,【様式2】職員名簿!$O$41:$O$140,0),1),"")</f>
        <v/>
      </c>
      <c r="D11" s="2160" t="s">
        <v>533</v>
      </c>
      <c r="E11" s="2161"/>
      <c r="F11" s="166"/>
      <c r="G11" s="166"/>
      <c r="H11" s="166"/>
      <c r="I11" s="166"/>
      <c r="J11" s="166"/>
      <c r="K11" s="166"/>
      <c r="L11" s="166"/>
      <c r="M11" s="166"/>
      <c r="N11" s="166"/>
      <c r="O11" s="166"/>
      <c r="P11" s="166"/>
      <c r="Q11" s="166"/>
      <c r="R11" s="166"/>
      <c r="S11" s="166"/>
      <c r="T11" s="166"/>
      <c r="U11" s="166"/>
      <c r="V11" s="166"/>
      <c r="W11" s="166"/>
      <c r="X11" s="166"/>
      <c r="Y11" s="166"/>
      <c r="Z11" s="166"/>
      <c r="AA11" s="166"/>
      <c r="AB11" s="166"/>
      <c r="AC11" s="166"/>
      <c r="AD11" s="166"/>
      <c r="AE11" s="166"/>
      <c r="AF11" s="166"/>
      <c r="AG11" s="166"/>
      <c r="AH11" s="166"/>
      <c r="AI11" s="166"/>
      <c r="AJ11" s="166"/>
      <c r="AK11" s="621">
        <f>MIN(SUMIF($F$4:$AJ$4,"&gt;0",F11:AJ11),【様式2】職員名簿!$F$5)</f>
        <v>0</v>
      </c>
    </row>
    <row r="12" spans="1:50" ht="15" customHeight="1">
      <c r="B12" s="165">
        <f t="shared" si="2"/>
        <v>6</v>
      </c>
      <c r="C12" s="616" t="str">
        <f>IFERROR(INDEX(【様式2】職員名簿!$B$41:$B$140,MATCH($B12,【様式2】職員名簿!$O$41:$O$140,0),1),"")</f>
        <v/>
      </c>
      <c r="D12" s="2160" t="s">
        <v>533</v>
      </c>
      <c r="E12" s="2161"/>
      <c r="F12" s="166"/>
      <c r="G12" s="166"/>
      <c r="H12" s="166"/>
      <c r="I12" s="166"/>
      <c r="J12" s="166"/>
      <c r="K12" s="166"/>
      <c r="L12" s="166"/>
      <c r="M12" s="166"/>
      <c r="N12" s="166"/>
      <c r="O12" s="166"/>
      <c r="P12" s="166"/>
      <c r="Q12" s="166"/>
      <c r="R12" s="166"/>
      <c r="S12" s="166"/>
      <c r="T12" s="166"/>
      <c r="U12" s="166"/>
      <c r="V12" s="166"/>
      <c r="W12" s="166"/>
      <c r="X12" s="166"/>
      <c r="Y12" s="166"/>
      <c r="Z12" s="166"/>
      <c r="AA12" s="166"/>
      <c r="AB12" s="166"/>
      <c r="AC12" s="166"/>
      <c r="AD12" s="166"/>
      <c r="AE12" s="166"/>
      <c r="AF12" s="166"/>
      <c r="AG12" s="166"/>
      <c r="AH12" s="166"/>
      <c r="AI12" s="166"/>
      <c r="AJ12" s="166"/>
      <c r="AK12" s="621">
        <f>MIN(SUMIF($F$4:$AJ$4,"&gt;0",F12:AJ12),【様式2】職員名簿!$F$5)</f>
        <v>0</v>
      </c>
    </row>
    <row r="13" spans="1:50" ht="15" customHeight="1">
      <c r="B13" s="165">
        <f t="shared" si="2"/>
        <v>7</v>
      </c>
      <c r="C13" s="616" t="str">
        <f>IFERROR(INDEX(【様式2】職員名簿!$B$41:$B$140,MATCH($B13,【様式2】職員名簿!$O$41:$O$140,0),1),"")</f>
        <v/>
      </c>
      <c r="D13" s="2160" t="s">
        <v>533</v>
      </c>
      <c r="E13" s="2161"/>
      <c r="F13" s="166"/>
      <c r="G13" s="166"/>
      <c r="H13" s="166"/>
      <c r="I13" s="166"/>
      <c r="J13" s="166"/>
      <c r="K13" s="166"/>
      <c r="L13" s="166"/>
      <c r="M13" s="166"/>
      <c r="N13" s="166"/>
      <c r="O13" s="166"/>
      <c r="P13" s="166"/>
      <c r="Q13" s="166"/>
      <c r="R13" s="166"/>
      <c r="S13" s="166"/>
      <c r="T13" s="166"/>
      <c r="U13" s="166"/>
      <c r="V13" s="166"/>
      <c r="W13" s="166"/>
      <c r="X13" s="166"/>
      <c r="Y13" s="166"/>
      <c r="Z13" s="166"/>
      <c r="AA13" s="166"/>
      <c r="AB13" s="166"/>
      <c r="AC13" s="166"/>
      <c r="AD13" s="166"/>
      <c r="AE13" s="166"/>
      <c r="AF13" s="166"/>
      <c r="AG13" s="166"/>
      <c r="AH13" s="166"/>
      <c r="AI13" s="166"/>
      <c r="AJ13" s="166"/>
      <c r="AK13" s="621">
        <f>MIN(SUMIF($F$4:$AJ$4,"&gt;0",F13:AJ13),【様式2】職員名簿!$F$5)</f>
        <v>0</v>
      </c>
    </row>
    <row r="14" spans="1:50" ht="15" customHeight="1">
      <c r="B14" s="165">
        <f t="shared" si="2"/>
        <v>8</v>
      </c>
      <c r="C14" s="616" t="str">
        <f>IFERROR(INDEX(【様式2】職員名簿!$B$41:$B$140,MATCH($B14,【様式2】職員名簿!$O$41:$O$140,0),1),"")</f>
        <v/>
      </c>
      <c r="D14" s="2160" t="s">
        <v>533</v>
      </c>
      <c r="E14" s="2161"/>
      <c r="F14" s="166"/>
      <c r="G14" s="166"/>
      <c r="H14" s="166"/>
      <c r="I14" s="166"/>
      <c r="J14" s="166"/>
      <c r="K14" s="166"/>
      <c r="L14" s="166"/>
      <c r="M14" s="166"/>
      <c r="N14" s="166"/>
      <c r="O14" s="166"/>
      <c r="P14" s="166"/>
      <c r="Q14" s="166"/>
      <c r="R14" s="166"/>
      <c r="S14" s="166"/>
      <c r="T14" s="166"/>
      <c r="U14" s="166"/>
      <c r="V14" s="166"/>
      <c r="W14" s="166"/>
      <c r="X14" s="166"/>
      <c r="Y14" s="166"/>
      <c r="Z14" s="166"/>
      <c r="AA14" s="166"/>
      <c r="AB14" s="166"/>
      <c r="AC14" s="166"/>
      <c r="AD14" s="166"/>
      <c r="AE14" s="166"/>
      <c r="AF14" s="166"/>
      <c r="AG14" s="166"/>
      <c r="AH14" s="166"/>
      <c r="AI14" s="166"/>
      <c r="AJ14" s="166"/>
      <c r="AK14" s="621">
        <f>MIN(SUMIF($F$4:$AJ$4,"&gt;0",F14:AJ14),【様式2】職員名簿!$F$5)</f>
        <v>0</v>
      </c>
    </row>
    <row r="15" spans="1:50" ht="15" customHeight="1">
      <c r="B15" s="165">
        <f t="shared" si="2"/>
        <v>9</v>
      </c>
      <c r="C15" s="616" t="str">
        <f>IFERROR(INDEX(【様式2】職員名簿!$B$41:$B$140,MATCH($B15,【様式2】職員名簿!$O$41:$O$140,0),1),"")</f>
        <v/>
      </c>
      <c r="D15" s="2160" t="s">
        <v>533</v>
      </c>
      <c r="E15" s="2161"/>
      <c r="F15" s="166"/>
      <c r="G15" s="166"/>
      <c r="H15" s="166"/>
      <c r="I15" s="166"/>
      <c r="J15" s="166"/>
      <c r="K15" s="166"/>
      <c r="L15" s="166"/>
      <c r="M15" s="166"/>
      <c r="N15" s="166"/>
      <c r="O15" s="166"/>
      <c r="P15" s="166"/>
      <c r="Q15" s="166"/>
      <c r="R15" s="166"/>
      <c r="S15" s="166"/>
      <c r="T15" s="166"/>
      <c r="U15" s="166"/>
      <c r="V15" s="166"/>
      <c r="W15" s="166"/>
      <c r="X15" s="166"/>
      <c r="Y15" s="166"/>
      <c r="Z15" s="166"/>
      <c r="AA15" s="166"/>
      <c r="AB15" s="166"/>
      <c r="AC15" s="166"/>
      <c r="AD15" s="166"/>
      <c r="AE15" s="166"/>
      <c r="AF15" s="166"/>
      <c r="AG15" s="166"/>
      <c r="AH15" s="166"/>
      <c r="AI15" s="166"/>
      <c r="AJ15" s="166"/>
      <c r="AK15" s="621">
        <f>MIN(SUMIF($F$4:$AJ$4,"&gt;0",F15:AJ15),【様式2】職員名簿!$F$5)</f>
        <v>0</v>
      </c>
    </row>
    <row r="16" spans="1:50" ht="15" customHeight="1">
      <c r="B16" s="165">
        <f t="shared" si="2"/>
        <v>10</v>
      </c>
      <c r="C16" s="616" t="str">
        <f>IFERROR(INDEX(【様式2】職員名簿!$B$41:$B$140,MATCH($B16,【様式2】職員名簿!$O$41:$O$140,0),1),"")</f>
        <v/>
      </c>
      <c r="D16" s="2160" t="s">
        <v>533</v>
      </c>
      <c r="E16" s="2161"/>
      <c r="F16" s="166"/>
      <c r="G16" s="166"/>
      <c r="H16" s="166"/>
      <c r="I16" s="166"/>
      <c r="J16" s="166"/>
      <c r="K16" s="166"/>
      <c r="L16" s="166"/>
      <c r="M16" s="166"/>
      <c r="N16" s="166"/>
      <c r="O16" s="166"/>
      <c r="P16" s="166"/>
      <c r="Q16" s="166"/>
      <c r="R16" s="166"/>
      <c r="S16" s="166"/>
      <c r="T16" s="166"/>
      <c r="U16" s="166"/>
      <c r="V16" s="166"/>
      <c r="W16" s="166"/>
      <c r="X16" s="166"/>
      <c r="Y16" s="166"/>
      <c r="Z16" s="166"/>
      <c r="AA16" s="166"/>
      <c r="AB16" s="166"/>
      <c r="AC16" s="166"/>
      <c r="AD16" s="166"/>
      <c r="AE16" s="166"/>
      <c r="AF16" s="166"/>
      <c r="AG16" s="166"/>
      <c r="AH16" s="166"/>
      <c r="AI16" s="166"/>
      <c r="AJ16" s="166"/>
      <c r="AK16" s="621">
        <f>MIN(SUMIF($F$4:$AJ$4,"&gt;0",F16:AJ16),【様式2】職員名簿!$F$5)</f>
        <v>0</v>
      </c>
    </row>
    <row r="17" spans="2:37" ht="15" customHeight="1">
      <c r="B17" s="165">
        <f t="shared" si="2"/>
        <v>11</v>
      </c>
      <c r="C17" s="616" t="str">
        <f>IFERROR(INDEX(【様式2】職員名簿!$B$41:$B$140,MATCH($B17,【様式2】職員名簿!$O$41:$O$140,0),1),"")</f>
        <v/>
      </c>
      <c r="D17" s="2160" t="s">
        <v>533</v>
      </c>
      <c r="E17" s="2161"/>
      <c r="F17" s="166"/>
      <c r="G17" s="166"/>
      <c r="H17" s="166"/>
      <c r="I17" s="166"/>
      <c r="J17" s="166"/>
      <c r="K17" s="166"/>
      <c r="L17" s="166"/>
      <c r="M17" s="166"/>
      <c r="N17" s="166"/>
      <c r="O17" s="166"/>
      <c r="P17" s="166"/>
      <c r="Q17" s="166"/>
      <c r="R17" s="166"/>
      <c r="S17" s="166"/>
      <c r="T17" s="166"/>
      <c r="U17" s="166"/>
      <c r="V17" s="166"/>
      <c r="W17" s="166"/>
      <c r="X17" s="166"/>
      <c r="Y17" s="166"/>
      <c r="Z17" s="166"/>
      <c r="AA17" s="166"/>
      <c r="AB17" s="166"/>
      <c r="AC17" s="166"/>
      <c r="AD17" s="166"/>
      <c r="AE17" s="166"/>
      <c r="AF17" s="166"/>
      <c r="AG17" s="166"/>
      <c r="AH17" s="166"/>
      <c r="AI17" s="166"/>
      <c r="AJ17" s="166"/>
      <c r="AK17" s="621">
        <f>MIN(SUMIF($F$4:$AJ$4,"&gt;0",F17:AJ17),【様式2】職員名簿!$F$5)</f>
        <v>0</v>
      </c>
    </row>
    <row r="18" spans="2:37" ht="15" customHeight="1">
      <c r="B18" s="165">
        <f t="shared" si="2"/>
        <v>12</v>
      </c>
      <c r="C18" s="616" t="str">
        <f>IFERROR(INDEX(【様式2】職員名簿!$B$41:$B$140,MATCH($B18,【様式2】職員名簿!$O$41:$O$140,0),1),"")</f>
        <v/>
      </c>
      <c r="D18" s="2160" t="s">
        <v>533</v>
      </c>
      <c r="E18" s="2161"/>
      <c r="F18" s="166"/>
      <c r="G18" s="166"/>
      <c r="H18" s="166"/>
      <c r="I18" s="166"/>
      <c r="J18" s="166"/>
      <c r="K18" s="166"/>
      <c r="L18" s="166"/>
      <c r="M18" s="166"/>
      <c r="N18" s="166"/>
      <c r="O18" s="166"/>
      <c r="P18" s="166"/>
      <c r="Q18" s="166"/>
      <c r="R18" s="166"/>
      <c r="S18" s="166"/>
      <c r="T18" s="166"/>
      <c r="U18" s="166"/>
      <c r="V18" s="166"/>
      <c r="W18" s="166"/>
      <c r="X18" s="166"/>
      <c r="Y18" s="166"/>
      <c r="Z18" s="166"/>
      <c r="AA18" s="166"/>
      <c r="AB18" s="166"/>
      <c r="AC18" s="166"/>
      <c r="AD18" s="166"/>
      <c r="AE18" s="166"/>
      <c r="AF18" s="166"/>
      <c r="AG18" s="166"/>
      <c r="AH18" s="166"/>
      <c r="AI18" s="166"/>
      <c r="AJ18" s="166"/>
      <c r="AK18" s="621">
        <f>MIN(SUMIF($F$4:$AJ$4,"&gt;0",F18:AJ18),【様式2】職員名簿!$F$5)</f>
        <v>0</v>
      </c>
    </row>
    <row r="19" spans="2:37" ht="15" customHeight="1">
      <c r="B19" s="165">
        <f t="shared" si="2"/>
        <v>13</v>
      </c>
      <c r="C19" s="616" t="str">
        <f>IFERROR(INDEX(【様式2】職員名簿!$B$41:$B$140,MATCH($B19,【様式2】職員名簿!$O$41:$O$140,0),1),"")</f>
        <v/>
      </c>
      <c r="D19" s="2160" t="s">
        <v>533</v>
      </c>
      <c r="E19" s="2161"/>
      <c r="F19" s="166"/>
      <c r="G19" s="166"/>
      <c r="H19" s="166"/>
      <c r="I19" s="166"/>
      <c r="J19" s="166"/>
      <c r="K19" s="166"/>
      <c r="L19" s="166"/>
      <c r="M19" s="166"/>
      <c r="N19" s="166"/>
      <c r="O19" s="166"/>
      <c r="P19" s="166"/>
      <c r="Q19" s="166"/>
      <c r="R19" s="166"/>
      <c r="S19" s="166"/>
      <c r="T19" s="166"/>
      <c r="U19" s="166"/>
      <c r="V19" s="166"/>
      <c r="W19" s="166"/>
      <c r="X19" s="166"/>
      <c r="Y19" s="166"/>
      <c r="Z19" s="166"/>
      <c r="AA19" s="166"/>
      <c r="AB19" s="166"/>
      <c r="AC19" s="166"/>
      <c r="AD19" s="166"/>
      <c r="AE19" s="166"/>
      <c r="AF19" s="166"/>
      <c r="AG19" s="166"/>
      <c r="AH19" s="166"/>
      <c r="AI19" s="166"/>
      <c r="AJ19" s="166"/>
      <c r="AK19" s="621">
        <f>MIN(SUMIF($F$4:$AJ$4,"&gt;0",F19:AJ19),【様式2】職員名簿!$F$5)</f>
        <v>0</v>
      </c>
    </row>
    <row r="20" spans="2:37" ht="15" customHeight="1">
      <c r="B20" s="165">
        <f t="shared" si="2"/>
        <v>14</v>
      </c>
      <c r="C20" s="616" t="str">
        <f>IFERROR(INDEX(【様式2】職員名簿!$B$41:$B$140,MATCH($B20,【様式2】職員名簿!$O$41:$O$140,0),1),"")</f>
        <v/>
      </c>
      <c r="D20" s="2160" t="s">
        <v>533</v>
      </c>
      <c r="E20" s="2161"/>
      <c r="F20" s="166"/>
      <c r="G20" s="166"/>
      <c r="H20" s="166"/>
      <c r="I20" s="166"/>
      <c r="J20" s="166"/>
      <c r="K20" s="166"/>
      <c r="L20" s="166"/>
      <c r="M20" s="166"/>
      <c r="N20" s="166"/>
      <c r="O20" s="166"/>
      <c r="P20" s="166"/>
      <c r="Q20" s="166"/>
      <c r="R20" s="166"/>
      <c r="S20" s="166"/>
      <c r="T20" s="166"/>
      <c r="U20" s="166"/>
      <c r="V20" s="166"/>
      <c r="W20" s="166"/>
      <c r="X20" s="166"/>
      <c r="Y20" s="166"/>
      <c r="Z20" s="166"/>
      <c r="AA20" s="166"/>
      <c r="AB20" s="166"/>
      <c r="AC20" s="166"/>
      <c r="AD20" s="166"/>
      <c r="AE20" s="166"/>
      <c r="AF20" s="166"/>
      <c r="AG20" s="166"/>
      <c r="AH20" s="166"/>
      <c r="AI20" s="166"/>
      <c r="AJ20" s="166"/>
      <c r="AK20" s="621">
        <f>MIN(SUMIF($F$4:$AJ$4,"&gt;0",F20:AJ20),【様式2】職員名簿!$F$5)</f>
        <v>0</v>
      </c>
    </row>
    <row r="21" spans="2:37" ht="15" customHeight="1">
      <c r="B21" s="165">
        <f t="shared" si="2"/>
        <v>15</v>
      </c>
      <c r="C21" s="616" t="str">
        <f>IFERROR(INDEX(【様式2】職員名簿!$B$41:$B$140,MATCH($B21,【様式2】職員名簿!$O$41:$O$140,0),1),"")</f>
        <v/>
      </c>
      <c r="D21" s="2160" t="s">
        <v>533</v>
      </c>
      <c r="E21" s="2161"/>
      <c r="F21" s="166"/>
      <c r="G21" s="166"/>
      <c r="H21" s="166"/>
      <c r="I21" s="166"/>
      <c r="J21" s="166"/>
      <c r="K21" s="166"/>
      <c r="L21" s="166"/>
      <c r="M21" s="166"/>
      <c r="N21" s="166"/>
      <c r="O21" s="166"/>
      <c r="P21" s="166"/>
      <c r="Q21" s="166"/>
      <c r="R21" s="166"/>
      <c r="S21" s="166"/>
      <c r="T21" s="166"/>
      <c r="U21" s="166"/>
      <c r="V21" s="166"/>
      <c r="W21" s="166"/>
      <c r="X21" s="166"/>
      <c r="Y21" s="166"/>
      <c r="Z21" s="166"/>
      <c r="AA21" s="166"/>
      <c r="AB21" s="166"/>
      <c r="AC21" s="166"/>
      <c r="AD21" s="166"/>
      <c r="AE21" s="166"/>
      <c r="AF21" s="166"/>
      <c r="AG21" s="166"/>
      <c r="AH21" s="166"/>
      <c r="AI21" s="166"/>
      <c r="AJ21" s="166"/>
      <c r="AK21" s="621">
        <f>MIN(SUMIF($F$4:$AJ$4,"&gt;0",F21:AJ21),【様式2】職員名簿!$F$5)</f>
        <v>0</v>
      </c>
    </row>
    <row r="22" spans="2:37" ht="15" customHeight="1">
      <c r="B22" s="165">
        <f t="shared" si="2"/>
        <v>16</v>
      </c>
      <c r="C22" s="616" t="str">
        <f>IFERROR(INDEX(【様式2】職員名簿!$B$41:$B$140,MATCH($B22,【様式2】職員名簿!$O$41:$O$140,0),1),"")</f>
        <v/>
      </c>
      <c r="D22" s="2160" t="s">
        <v>533</v>
      </c>
      <c r="E22" s="2161"/>
      <c r="F22" s="166"/>
      <c r="G22" s="166"/>
      <c r="H22" s="166"/>
      <c r="I22" s="166"/>
      <c r="J22" s="166"/>
      <c r="K22" s="166"/>
      <c r="L22" s="166"/>
      <c r="M22" s="166"/>
      <c r="N22" s="166"/>
      <c r="O22" s="166"/>
      <c r="P22" s="166"/>
      <c r="Q22" s="166"/>
      <c r="R22" s="166"/>
      <c r="S22" s="166"/>
      <c r="T22" s="166"/>
      <c r="U22" s="166"/>
      <c r="V22" s="166"/>
      <c r="W22" s="166"/>
      <c r="X22" s="166"/>
      <c r="Y22" s="166"/>
      <c r="Z22" s="166"/>
      <c r="AA22" s="166"/>
      <c r="AB22" s="166"/>
      <c r="AC22" s="166"/>
      <c r="AD22" s="166"/>
      <c r="AE22" s="166"/>
      <c r="AF22" s="166"/>
      <c r="AG22" s="166"/>
      <c r="AH22" s="166"/>
      <c r="AI22" s="166"/>
      <c r="AJ22" s="166"/>
      <c r="AK22" s="621">
        <f>MIN(SUMIF($F$4:$AJ$4,"&gt;0",F22:AJ22),【様式2】職員名簿!$F$5)</f>
        <v>0</v>
      </c>
    </row>
    <row r="23" spans="2:37" ht="15" customHeight="1">
      <c r="B23" s="165">
        <f t="shared" si="2"/>
        <v>17</v>
      </c>
      <c r="C23" s="616" t="str">
        <f>IFERROR(INDEX(【様式2】職員名簿!$B$41:$B$140,MATCH($B23,【様式2】職員名簿!$O$41:$O$140,0),1),"")</f>
        <v/>
      </c>
      <c r="D23" s="2160" t="s">
        <v>533</v>
      </c>
      <c r="E23" s="2161"/>
      <c r="F23" s="166"/>
      <c r="G23" s="166"/>
      <c r="H23" s="166"/>
      <c r="I23" s="166"/>
      <c r="J23" s="166"/>
      <c r="K23" s="166"/>
      <c r="L23" s="166"/>
      <c r="M23" s="166"/>
      <c r="N23" s="166"/>
      <c r="O23" s="166"/>
      <c r="P23" s="166"/>
      <c r="Q23" s="166"/>
      <c r="R23" s="166"/>
      <c r="S23" s="166"/>
      <c r="T23" s="166"/>
      <c r="U23" s="166"/>
      <c r="V23" s="166"/>
      <c r="W23" s="166"/>
      <c r="X23" s="166"/>
      <c r="Y23" s="166"/>
      <c r="Z23" s="166"/>
      <c r="AA23" s="166"/>
      <c r="AB23" s="166"/>
      <c r="AC23" s="166"/>
      <c r="AD23" s="166"/>
      <c r="AE23" s="166"/>
      <c r="AF23" s="166"/>
      <c r="AG23" s="166"/>
      <c r="AH23" s="166"/>
      <c r="AI23" s="166"/>
      <c r="AJ23" s="166"/>
      <c r="AK23" s="621">
        <f>MIN(SUMIF($F$4:$AJ$4,"&gt;0",F23:AJ23),【様式2】職員名簿!$F$5)</f>
        <v>0</v>
      </c>
    </row>
    <row r="24" spans="2:37" ht="15" customHeight="1">
      <c r="B24" s="165">
        <f t="shared" si="2"/>
        <v>18</v>
      </c>
      <c r="C24" s="616" t="str">
        <f>IFERROR(INDEX(【様式2】職員名簿!$B$41:$B$140,MATCH($B24,【様式2】職員名簿!$O$41:$O$140,0),1),"")</f>
        <v/>
      </c>
      <c r="D24" s="2160" t="s">
        <v>533</v>
      </c>
      <c r="E24" s="2161"/>
      <c r="F24" s="166"/>
      <c r="G24" s="166"/>
      <c r="H24" s="166"/>
      <c r="I24" s="166"/>
      <c r="J24" s="166"/>
      <c r="K24" s="166"/>
      <c r="L24" s="166"/>
      <c r="M24" s="166"/>
      <c r="N24" s="166"/>
      <c r="O24" s="166"/>
      <c r="P24" s="166"/>
      <c r="Q24" s="166"/>
      <c r="R24" s="166"/>
      <c r="S24" s="166"/>
      <c r="T24" s="166"/>
      <c r="U24" s="166"/>
      <c r="V24" s="166"/>
      <c r="W24" s="166"/>
      <c r="X24" s="166"/>
      <c r="Y24" s="166"/>
      <c r="Z24" s="166"/>
      <c r="AA24" s="166"/>
      <c r="AB24" s="166"/>
      <c r="AC24" s="166"/>
      <c r="AD24" s="166"/>
      <c r="AE24" s="166"/>
      <c r="AF24" s="166"/>
      <c r="AG24" s="166"/>
      <c r="AH24" s="166"/>
      <c r="AI24" s="166"/>
      <c r="AJ24" s="166"/>
      <c r="AK24" s="621">
        <f>MIN(SUMIF($F$4:$AJ$4,"&gt;0",F24:AJ24),【様式2】職員名簿!$F$5)</f>
        <v>0</v>
      </c>
    </row>
    <row r="25" spans="2:37" ht="15" customHeight="1">
      <c r="B25" s="165">
        <f t="shared" si="2"/>
        <v>19</v>
      </c>
      <c r="C25" s="616" t="str">
        <f>IFERROR(INDEX(【様式2】職員名簿!$B$41:$B$140,MATCH($B25,【様式2】職員名簿!$O$41:$O$140,0),1),"")</f>
        <v/>
      </c>
      <c r="D25" s="2160" t="s">
        <v>533</v>
      </c>
      <c r="E25" s="2161"/>
      <c r="F25" s="166"/>
      <c r="G25" s="166"/>
      <c r="H25" s="166"/>
      <c r="I25" s="166"/>
      <c r="J25" s="166"/>
      <c r="K25" s="166"/>
      <c r="L25" s="166"/>
      <c r="M25" s="166"/>
      <c r="N25" s="166"/>
      <c r="O25" s="166"/>
      <c r="P25" s="166"/>
      <c r="Q25" s="166"/>
      <c r="R25" s="166"/>
      <c r="S25" s="166"/>
      <c r="T25" s="166"/>
      <c r="U25" s="166"/>
      <c r="V25" s="166"/>
      <c r="W25" s="166"/>
      <c r="X25" s="166"/>
      <c r="Y25" s="166"/>
      <c r="Z25" s="166"/>
      <c r="AA25" s="166"/>
      <c r="AB25" s="166"/>
      <c r="AC25" s="166"/>
      <c r="AD25" s="166"/>
      <c r="AE25" s="166"/>
      <c r="AF25" s="166"/>
      <c r="AG25" s="166"/>
      <c r="AH25" s="166"/>
      <c r="AI25" s="166"/>
      <c r="AJ25" s="166"/>
      <c r="AK25" s="621">
        <f>MIN(SUMIF($F$4:$AJ$4,"&gt;0",F25:AJ25),【様式2】職員名簿!$F$5)</f>
        <v>0</v>
      </c>
    </row>
    <row r="26" spans="2:37" ht="15" customHeight="1">
      <c r="B26" s="165">
        <f t="shared" si="2"/>
        <v>20</v>
      </c>
      <c r="C26" s="616" t="str">
        <f>IFERROR(INDEX(【様式2】職員名簿!$B$41:$B$140,MATCH($B26,【様式2】職員名簿!$O$41:$O$140,0),1),"")</f>
        <v/>
      </c>
      <c r="D26" s="2160" t="s">
        <v>533</v>
      </c>
      <c r="E26" s="2161"/>
      <c r="F26" s="166"/>
      <c r="G26" s="166"/>
      <c r="H26" s="166"/>
      <c r="I26" s="166"/>
      <c r="J26" s="166"/>
      <c r="K26" s="166"/>
      <c r="L26" s="166"/>
      <c r="M26" s="166"/>
      <c r="N26" s="166"/>
      <c r="O26" s="166"/>
      <c r="P26" s="166"/>
      <c r="Q26" s="166"/>
      <c r="R26" s="166"/>
      <c r="S26" s="166"/>
      <c r="T26" s="166"/>
      <c r="U26" s="166"/>
      <c r="V26" s="166"/>
      <c r="W26" s="166"/>
      <c r="X26" s="166"/>
      <c r="Y26" s="166"/>
      <c r="Z26" s="166"/>
      <c r="AA26" s="166"/>
      <c r="AB26" s="166"/>
      <c r="AC26" s="166"/>
      <c r="AD26" s="166"/>
      <c r="AE26" s="166"/>
      <c r="AF26" s="166"/>
      <c r="AG26" s="166"/>
      <c r="AH26" s="166"/>
      <c r="AI26" s="166"/>
      <c r="AJ26" s="166"/>
      <c r="AK26" s="621">
        <f>MIN(SUMIF($F$4:$AJ$4,"&gt;0",F26:AJ26),【様式2】職員名簿!$F$5)</f>
        <v>0</v>
      </c>
    </row>
    <row r="27" spans="2:37" ht="15" customHeight="1">
      <c r="B27" s="165">
        <f t="shared" si="2"/>
        <v>21</v>
      </c>
      <c r="C27" s="616" t="str">
        <f>IFERROR(INDEX(【様式2】職員名簿!$B$41:$B$140,MATCH($B27,【様式2】職員名簿!$O$41:$O$140,0),1),"")</f>
        <v/>
      </c>
      <c r="D27" s="2160" t="s">
        <v>533</v>
      </c>
      <c r="E27" s="2161"/>
      <c r="F27" s="166"/>
      <c r="G27" s="166"/>
      <c r="H27" s="166"/>
      <c r="I27" s="166"/>
      <c r="J27" s="166"/>
      <c r="K27" s="166"/>
      <c r="L27" s="166"/>
      <c r="M27" s="166"/>
      <c r="N27" s="166"/>
      <c r="O27" s="166"/>
      <c r="P27" s="166"/>
      <c r="Q27" s="166"/>
      <c r="R27" s="166"/>
      <c r="S27" s="166"/>
      <c r="T27" s="166"/>
      <c r="U27" s="166"/>
      <c r="V27" s="166"/>
      <c r="W27" s="166"/>
      <c r="X27" s="166"/>
      <c r="Y27" s="166"/>
      <c r="Z27" s="166"/>
      <c r="AA27" s="166"/>
      <c r="AB27" s="166"/>
      <c r="AC27" s="166"/>
      <c r="AD27" s="166"/>
      <c r="AE27" s="166"/>
      <c r="AF27" s="166"/>
      <c r="AG27" s="166"/>
      <c r="AH27" s="166"/>
      <c r="AI27" s="166"/>
      <c r="AJ27" s="166"/>
      <c r="AK27" s="621">
        <f>MIN(SUMIF($F$4:$AJ$4,"&gt;0",F27:AJ27),【様式2】職員名簿!$F$5)</f>
        <v>0</v>
      </c>
    </row>
    <row r="28" spans="2:37" ht="15" customHeight="1">
      <c r="B28" s="165">
        <f t="shared" si="2"/>
        <v>22</v>
      </c>
      <c r="C28" s="616" t="str">
        <f>IFERROR(INDEX(【様式2】職員名簿!$B$41:$B$140,MATCH($B28,【様式2】職員名簿!$O$41:$O$140,0),1),"")</f>
        <v/>
      </c>
      <c r="D28" s="2160" t="s">
        <v>533</v>
      </c>
      <c r="E28" s="2161"/>
      <c r="F28" s="166"/>
      <c r="G28" s="166"/>
      <c r="H28" s="166"/>
      <c r="I28" s="166"/>
      <c r="J28" s="166"/>
      <c r="K28" s="166"/>
      <c r="L28" s="166"/>
      <c r="M28" s="166"/>
      <c r="N28" s="166"/>
      <c r="O28" s="166"/>
      <c r="P28" s="166"/>
      <c r="Q28" s="166"/>
      <c r="R28" s="166"/>
      <c r="S28" s="166"/>
      <c r="T28" s="166"/>
      <c r="U28" s="166"/>
      <c r="V28" s="166"/>
      <c r="W28" s="166"/>
      <c r="X28" s="166"/>
      <c r="Y28" s="166"/>
      <c r="Z28" s="166"/>
      <c r="AA28" s="166"/>
      <c r="AB28" s="166"/>
      <c r="AC28" s="166"/>
      <c r="AD28" s="166"/>
      <c r="AE28" s="166"/>
      <c r="AF28" s="166"/>
      <c r="AG28" s="166"/>
      <c r="AH28" s="166"/>
      <c r="AI28" s="166"/>
      <c r="AJ28" s="166"/>
      <c r="AK28" s="621">
        <f>MIN(SUMIF($F$4:$AJ$4,"&gt;0",F28:AJ28),【様式2】職員名簿!$F$5)</f>
        <v>0</v>
      </c>
    </row>
    <row r="29" spans="2:37" ht="15" customHeight="1">
      <c r="B29" s="165">
        <f t="shared" si="2"/>
        <v>23</v>
      </c>
      <c r="C29" s="616" t="str">
        <f>IFERROR(INDEX(【様式2】職員名簿!$B$41:$B$140,MATCH($B29,【様式2】職員名簿!$O$41:$O$140,0),1),"")</f>
        <v/>
      </c>
      <c r="D29" s="2160" t="s">
        <v>533</v>
      </c>
      <c r="E29" s="2161"/>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6"/>
      <c r="AK29" s="621">
        <f>MIN(SUMIF($F$4:$AJ$4,"&gt;0",F29:AJ29),【様式2】職員名簿!$F$5)</f>
        <v>0</v>
      </c>
    </row>
    <row r="30" spans="2:37" ht="15" customHeight="1">
      <c r="B30" s="165">
        <f t="shared" si="2"/>
        <v>24</v>
      </c>
      <c r="C30" s="616" t="str">
        <f>IFERROR(INDEX(【様式2】職員名簿!$B$41:$B$140,MATCH($B30,【様式2】職員名簿!$O$41:$O$140,0),1),"")</f>
        <v/>
      </c>
      <c r="D30" s="2160" t="s">
        <v>533</v>
      </c>
      <c r="E30" s="2161"/>
      <c r="F30" s="166"/>
      <c r="G30" s="166"/>
      <c r="H30" s="166"/>
      <c r="I30" s="166"/>
      <c r="J30" s="166"/>
      <c r="K30" s="166"/>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6"/>
      <c r="AI30" s="166"/>
      <c r="AJ30" s="166"/>
      <c r="AK30" s="621">
        <f>MIN(SUMIF($F$4:$AJ$4,"&gt;0",F30:AJ30),【様式2】職員名簿!$F$5)</f>
        <v>0</v>
      </c>
    </row>
    <row r="31" spans="2:37" ht="15" customHeight="1">
      <c r="B31" s="165">
        <f t="shared" si="2"/>
        <v>25</v>
      </c>
      <c r="C31" s="616" t="str">
        <f>IFERROR(INDEX(【様式2】職員名簿!$B$41:$B$140,MATCH($B31,【様式2】職員名簿!$O$41:$O$140,0),1),"")</f>
        <v/>
      </c>
      <c r="D31" s="2160" t="s">
        <v>533</v>
      </c>
      <c r="E31" s="2161"/>
      <c r="F31" s="166"/>
      <c r="G31" s="166"/>
      <c r="H31" s="166"/>
      <c r="I31" s="166"/>
      <c r="J31" s="166"/>
      <c r="K31" s="166"/>
      <c r="L31" s="166"/>
      <c r="M31" s="166"/>
      <c r="N31" s="166"/>
      <c r="O31" s="166"/>
      <c r="P31" s="166"/>
      <c r="Q31" s="166"/>
      <c r="R31" s="166"/>
      <c r="S31" s="166"/>
      <c r="T31" s="166"/>
      <c r="U31" s="166"/>
      <c r="V31" s="166"/>
      <c r="W31" s="166"/>
      <c r="X31" s="166"/>
      <c r="Y31" s="166"/>
      <c r="Z31" s="166"/>
      <c r="AA31" s="166"/>
      <c r="AB31" s="166"/>
      <c r="AC31" s="166"/>
      <c r="AD31" s="166"/>
      <c r="AE31" s="166"/>
      <c r="AF31" s="166"/>
      <c r="AG31" s="166"/>
      <c r="AH31" s="166"/>
      <c r="AI31" s="166"/>
      <c r="AJ31" s="166"/>
      <c r="AK31" s="621">
        <f>MIN(SUMIF($F$4:$AJ$4,"&gt;0",F31:AJ31),【様式2】職員名簿!$F$5)</f>
        <v>0</v>
      </c>
    </row>
    <row r="32" spans="2:37" ht="15" customHeight="1">
      <c r="B32" s="165">
        <f t="shared" si="2"/>
        <v>26</v>
      </c>
      <c r="C32" s="616" t="str">
        <f>IFERROR(INDEX(【様式2】職員名簿!$B$41:$B$140,MATCH($B32,【様式2】職員名簿!$O$41:$O$140,0),1),"")</f>
        <v/>
      </c>
      <c r="D32" s="2160" t="s">
        <v>533</v>
      </c>
      <c r="E32" s="2161"/>
      <c r="F32" s="166"/>
      <c r="G32" s="166"/>
      <c r="H32" s="166"/>
      <c r="I32" s="166"/>
      <c r="J32" s="166"/>
      <c r="K32" s="166"/>
      <c r="L32" s="166"/>
      <c r="M32" s="166"/>
      <c r="N32" s="166"/>
      <c r="O32" s="166"/>
      <c r="P32" s="166"/>
      <c r="Q32" s="166"/>
      <c r="R32" s="166"/>
      <c r="S32" s="166"/>
      <c r="T32" s="166"/>
      <c r="U32" s="166"/>
      <c r="V32" s="166"/>
      <c r="W32" s="166"/>
      <c r="X32" s="166"/>
      <c r="Y32" s="166"/>
      <c r="Z32" s="166"/>
      <c r="AA32" s="166"/>
      <c r="AB32" s="166"/>
      <c r="AC32" s="166"/>
      <c r="AD32" s="166"/>
      <c r="AE32" s="166"/>
      <c r="AF32" s="166"/>
      <c r="AG32" s="166"/>
      <c r="AH32" s="166"/>
      <c r="AI32" s="166"/>
      <c r="AJ32" s="166"/>
      <c r="AK32" s="621">
        <f>MIN(SUMIF($F$4:$AJ$4,"&gt;0",F32:AJ32),【様式2】職員名簿!$F$5)</f>
        <v>0</v>
      </c>
    </row>
    <row r="33" spans="2:37" ht="15" customHeight="1">
      <c r="B33" s="165">
        <f t="shared" si="2"/>
        <v>27</v>
      </c>
      <c r="C33" s="616" t="str">
        <f>IFERROR(INDEX(【様式2】職員名簿!$B$41:$B$140,MATCH($B33,【様式2】職員名簿!$O$41:$O$140,0),1),"")</f>
        <v/>
      </c>
      <c r="D33" s="2160" t="s">
        <v>533</v>
      </c>
      <c r="E33" s="2161"/>
      <c r="F33" s="166"/>
      <c r="G33" s="166"/>
      <c r="H33" s="166"/>
      <c r="I33" s="166"/>
      <c r="J33" s="166"/>
      <c r="K33" s="166"/>
      <c r="L33" s="166"/>
      <c r="M33" s="166"/>
      <c r="N33" s="166"/>
      <c r="O33" s="166"/>
      <c r="P33" s="166"/>
      <c r="Q33" s="166"/>
      <c r="R33" s="166"/>
      <c r="S33" s="166"/>
      <c r="T33" s="166"/>
      <c r="U33" s="166"/>
      <c r="V33" s="166"/>
      <c r="W33" s="166"/>
      <c r="X33" s="166"/>
      <c r="Y33" s="166"/>
      <c r="Z33" s="166"/>
      <c r="AA33" s="166"/>
      <c r="AB33" s="166"/>
      <c r="AC33" s="166"/>
      <c r="AD33" s="166"/>
      <c r="AE33" s="166"/>
      <c r="AF33" s="166"/>
      <c r="AG33" s="166"/>
      <c r="AH33" s="166"/>
      <c r="AI33" s="166"/>
      <c r="AJ33" s="166"/>
      <c r="AK33" s="621">
        <f>MIN(SUMIF($F$4:$AJ$4,"&gt;0",F33:AJ33),【様式2】職員名簿!$F$5)</f>
        <v>0</v>
      </c>
    </row>
    <row r="34" spans="2:37" ht="15" customHeight="1">
      <c r="B34" s="165">
        <f t="shared" si="2"/>
        <v>28</v>
      </c>
      <c r="C34" s="616" t="str">
        <f>IFERROR(INDEX(【様式2】職員名簿!$B$41:$B$140,MATCH($B34,【様式2】職員名簿!$O$41:$O$140,0),1),"")</f>
        <v/>
      </c>
      <c r="D34" s="2160" t="s">
        <v>533</v>
      </c>
      <c r="E34" s="2161"/>
      <c r="F34" s="166"/>
      <c r="G34" s="166"/>
      <c r="H34" s="166"/>
      <c r="I34" s="166"/>
      <c r="J34" s="166"/>
      <c r="K34" s="166"/>
      <c r="L34" s="166"/>
      <c r="M34" s="166"/>
      <c r="N34" s="166"/>
      <c r="O34" s="166"/>
      <c r="P34" s="166"/>
      <c r="Q34" s="166"/>
      <c r="R34" s="166"/>
      <c r="S34" s="166"/>
      <c r="T34" s="166"/>
      <c r="U34" s="166"/>
      <c r="V34" s="166"/>
      <c r="W34" s="166"/>
      <c r="X34" s="166"/>
      <c r="Y34" s="166"/>
      <c r="Z34" s="166"/>
      <c r="AA34" s="166"/>
      <c r="AB34" s="166"/>
      <c r="AC34" s="166"/>
      <c r="AD34" s="166"/>
      <c r="AE34" s="166"/>
      <c r="AF34" s="166"/>
      <c r="AG34" s="166"/>
      <c r="AH34" s="166"/>
      <c r="AI34" s="166"/>
      <c r="AJ34" s="166"/>
      <c r="AK34" s="621">
        <f>MIN(SUMIF($F$4:$AJ$4,"&gt;0",F34:AJ34),【様式2】職員名簿!$F$5)</f>
        <v>0</v>
      </c>
    </row>
    <row r="35" spans="2:37" ht="15" customHeight="1">
      <c r="B35" s="165">
        <f t="shared" si="2"/>
        <v>29</v>
      </c>
      <c r="C35" s="616" t="str">
        <f>IFERROR(INDEX(【様式2】職員名簿!$B$41:$B$140,MATCH($B35,【様式2】職員名簿!$O$41:$O$140,0),1),"")</f>
        <v/>
      </c>
      <c r="D35" s="2160" t="s">
        <v>533</v>
      </c>
      <c r="E35" s="2161"/>
      <c r="F35" s="166"/>
      <c r="G35" s="166"/>
      <c r="H35" s="166"/>
      <c r="I35" s="166"/>
      <c r="J35" s="166"/>
      <c r="K35" s="166"/>
      <c r="L35" s="166"/>
      <c r="M35" s="166"/>
      <c r="N35" s="166"/>
      <c r="O35" s="166"/>
      <c r="P35" s="166"/>
      <c r="Q35" s="166"/>
      <c r="R35" s="166"/>
      <c r="S35" s="166"/>
      <c r="T35" s="166"/>
      <c r="U35" s="166"/>
      <c r="V35" s="166"/>
      <c r="W35" s="166"/>
      <c r="X35" s="166"/>
      <c r="Y35" s="166"/>
      <c r="Z35" s="166"/>
      <c r="AA35" s="166"/>
      <c r="AB35" s="166"/>
      <c r="AC35" s="166"/>
      <c r="AD35" s="166"/>
      <c r="AE35" s="166"/>
      <c r="AF35" s="166"/>
      <c r="AG35" s="166"/>
      <c r="AH35" s="166"/>
      <c r="AI35" s="166"/>
      <c r="AJ35" s="166"/>
      <c r="AK35" s="621">
        <f>MIN(SUMIF($F$4:$AJ$4,"&gt;0",F35:AJ35),【様式2】職員名簿!$F$5)</f>
        <v>0</v>
      </c>
    </row>
    <row r="36" spans="2:37" ht="15" customHeight="1">
      <c r="B36" s="165">
        <f t="shared" si="2"/>
        <v>30</v>
      </c>
      <c r="C36" s="616" t="str">
        <f>IFERROR(INDEX(【様式2】職員名簿!$B$41:$B$140,MATCH($B36,【様式2】職員名簿!$O$41:$O$140,0),1),"")</f>
        <v/>
      </c>
      <c r="D36" s="2160" t="s">
        <v>533</v>
      </c>
      <c r="E36" s="2161"/>
      <c r="F36" s="166"/>
      <c r="G36" s="166"/>
      <c r="H36" s="166"/>
      <c r="I36" s="166"/>
      <c r="J36" s="166"/>
      <c r="K36" s="166"/>
      <c r="L36" s="166"/>
      <c r="M36" s="166"/>
      <c r="N36" s="166"/>
      <c r="O36" s="166"/>
      <c r="P36" s="166"/>
      <c r="Q36" s="166"/>
      <c r="R36" s="166"/>
      <c r="S36" s="166"/>
      <c r="T36" s="166"/>
      <c r="U36" s="166"/>
      <c r="V36" s="166"/>
      <c r="W36" s="166"/>
      <c r="X36" s="166"/>
      <c r="Y36" s="166"/>
      <c r="Z36" s="166"/>
      <c r="AA36" s="166"/>
      <c r="AB36" s="166"/>
      <c r="AC36" s="166"/>
      <c r="AD36" s="166"/>
      <c r="AE36" s="166"/>
      <c r="AF36" s="166"/>
      <c r="AG36" s="166"/>
      <c r="AH36" s="166"/>
      <c r="AI36" s="166"/>
      <c r="AJ36" s="166"/>
      <c r="AK36" s="621">
        <f>MIN(SUMIF($F$4:$AJ$4,"&gt;0",F36:AJ36),【様式2】職員名簿!$F$5)</f>
        <v>0</v>
      </c>
    </row>
    <row r="37" spans="2:37" ht="15" customHeight="1">
      <c r="B37" s="165">
        <f t="shared" si="2"/>
        <v>31</v>
      </c>
      <c r="C37" s="616" t="str">
        <f>IFERROR(INDEX(【様式2】職員名簿!$B$41:$B$140,MATCH($B37,【様式2】職員名簿!$O$41:$O$140,0),1),"")</f>
        <v/>
      </c>
      <c r="D37" s="2160" t="s">
        <v>533</v>
      </c>
      <c r="E37" s="2161"/>
      <c r="F37" s="166"/>
      <c r="G37" s="166"/>
      <c r="H37" s="166"/>
      <c r="I37" s="166"/>
      <c r="J37" s="166"/>
      <c r="K37" s="166"/>
      <c r="L37" s="166"/>
      <c r="M37" s="166"/>
      <c r="N37" s="166"/>
      <c r="O37" s="166"/>
      <c r="P37" s="166"/>
      <c r="Q37" s="166"/>
      <c r="R37" s="166"/>
      <c r="S37" s="166"/>
      <c r="T37" s="166"/>
      <c r="U37" s="166"/>
      <c r="V37" s="166"/>
      <c r="W37" s="166"/>
      <c r="X37" s="166"/>
      <c r="Y37" s="166"/>
      <c r="Z37" s="166"/>
      <c r="AA37" s="166"/>
      <c r="AB37" s="166"/>
      <c r="AC37" s="166"/>
      <c r="AD37" s="166"/>
      <c r="AE37" s="166"/>
      <c r="AF37" s="166"/>
      <c r="AG37" s="166"/>
      <c r="AH37" s="166"/>
      <c r="AI37" s="166"/>
      <c r="AJ37" s="166"/>
      <c r="AK37" s="621">
        <f>MIN(SUMIF($F$4:$AJ$4,"&gt;0",F37:AJ37),【様式2】職員名簿!$F$5)</f>
        <v>0</v>
      </c>
    </row>
    <row r="38" spans="2:37" ht="15" customHeight="1">
      <c r="B38" s="165">
        <f t="shared" si="2"/>
        <v>32</v>
      </c>
      <c r="C38" s="616" t="str">
        <f>IFERROR(INDEX(【様式2】職員名簿!$B$41:$B$140,MATCH($B38,【様式2】職員名簿!$O$41:$O$140,0),1),"")</f>
        <v/>
      </c>
      <c r="D38" s="2160" t="s">
        <v>533</v>
      </c>
      <c r="E38" s="2161"/>
      <c r="F38" s="166"/>
      <c r="G38" s="166"/>
      <c r="H38" s="166"/>
      <c r="I38" s="166"/>
      <c r="J38" s="166"/>
      <c r="K38" s="166"/>
      <c r="L38" s="166"/>
      <c r="M38" s="166"/>
      <c r="N38" s="166"/>
      <c r="O38" s="166"/>
      <c r="P38" s="166"/>
      <c r="Q38" s="166"/>
      <c r="R38" s="166"/>
      <c r="S38" s="166"/>
      <c r="T38" s="166"/>
      <c r="U38" s="166"/>
      <c r="V38" s="166"/>
      <c r="W38" s="166"/>
      <c r="X38" s="166"/>
      <c r="Y38" s="166"/>
      <c r="Z38" s="166"/>
      <c r="AA38" s="166"/>
      <c r="AB38" s="166"/>
      <c r="AC38" s="166"/>
      <c r="AD38" s="166"/>
      <c r="AE38" s="166"/>
      <c r="AF38" s="166"/>
      <c r="AG38" s="166"/>
      <c r="AH38" s="166"/>
      <c r="AI38" s="166"/>
      <c r="AJ38" s="166"/>
      <c r="AK38" s="621">
        <f>MIN(SUMIF($F$4:$AJ$4,"&gt;0",F38:AJ38),【様式2】職員名簿!$F$5)</f>
        <v>0</v>
      </c>
    </row>
    <row r="39" spans="2:37" ht="15" customHeight="1">
      <c r="B39" s="165">
        <f t="shared" si="2"/>
        <v>33</v>
      </c>
      <c r="C39" s="616" t="str">
        <f>IFERROR(INDEX(【様式2】職員名簿!$B$41:$B$140,MATCH($B39,【様式2】職員名簿!$O$41:$O$140,0),1),"")</f>
        <v/>
      </c>
      <c r="D39" s="2160" t="s">
        <v>533</v>
      </c>
      <c r="E39" s="2161"/>
      <c r="F39" s="166"/>
      <c r="G39" s="166"/>
      <c r="H39" s="166"/>
      <c r="I39" s="166"/>
      <c r="J39" s="166"/>
      <c r="K39" s="166"/>
      <c r="L39" s="166"/>
      <c r="M39" s="166"/>
      <c r="N39" s="166"/>
      <c r="O39" s="166"/>
      <c r="P39" s="166"/>
      <c r="Q39" s="166"/>
      <c r="R39" s="166"/>
      <c r="S39" s="166"/>
      <c r="T39" s="166"/>
      <c r="U39" s="166"/>
      <c r="V39" s="166"/>
      <c r="W39" s="166"/>
      <c r="X39" s="166"/>
      <c r="Y39" s="166"/>
      <c r="Z39" s="166"/>
      <c r="AA39" s="166"/>
      <c r="AB39" s="166"/>
      <c r="AC39" s="166"/>
      <c r="AD39" s="166"/>
      <c r="AE39" s="166"/>
      <c r="AF39" s="166"/>
      <c r="AG39" s="166"/>
      <c r="AH39" s="166"/>
      <c r="AI39" s="166"/>
      <c r="AJ39" s="166"/>
      <c r="AK39" s="621">
        <f>MIN(SUMIF($F$4:$AJ$4,"&gt;0",F39:AJ39),【様式2】職員名簿!$F$5)</f>
        <v>0</v>
      </c>
    </row>
    <row r="40" spans="2:37" ht="15" customHeight="1">
      <c r="B40" s="165">
        <f t="shared" si="2"/>
        <v>34</v>
      </c>
      <c r="C40" s="616" t="str">
        <f>IFERROR(INDEX(【様式2】職員名簿!$B$41:$B$140,MATCH($B40,【様式2】職員名簿!$O$41:$O$140,0),1),"")</f>
        <v/>
      </c>
      <c r="D40" s="2160" t="s">
        <v>533</v>
      </c>
      <c r="E40" s="2161"/>
      <c r="F40" s="166"/>
      <c r="G40" s="166"/>
      <c r="H40" s="166"/>
      <c r="I40" s="166"/>
      <c r="J40" s="166"/>
      <c r="K40" s="166"/>
      <c r="L40" s="166"/>
      <c r="M40" s="166"/>
      <c r="N40" s="166"/>
      <c r="O40" s="166"/>
      <c r="P40" s="166"/>
      <c r="Q40" s="166"/>
      <c r="R40" s="166"/>
      <c r="S40" s="166"/>
      <c r="T40" s="166"/>
      <c r="U40" s="166"/>
      <c r="V40" s="166"/>
      <c r="W40" s="166"/>
      <c r="X40" s="166"/>
      <c r="Y40" s="166"/>
      <c r="Z40" s="166"/>
      <c r="AA40" s="166"/>
      <c r="AB40" s="166"/>
      <c r="AC40" s="166"/>
      <c r="AD40" s="166"/>
      <c r="AE40" s="166"/>
      <c r="AF40" s="166"/>
      <c r="AG40" s="166"/>
      <c r="AH40" s="166"/>
      <c r="AI40" s="166"/>
      <c r="AJ40" s="166"/>
      <c r="AK40" s="621">
        <f>MIN(SUMIF($F$4:$AJ$4,"&gt;0",F40:AJ40),【様式2】職員名簿!$F$5)</f>
        <v>0</v>
      </c>
    </row>
    <row r="41" spans="2:37" ht="15" customHeight="1">
      <c r="B41" s="165">
        <f t="shared" si="2"/>
        <v>35</v>
      </c>
      <c r="C41" s="616" t="str">
        <f>IFERROR(INDEX(【様式2】職員名簿!$B$41:$B$140,MATCH($B41,【様式2】職員名簿!$O$41:$O$140,0),1),"")</f>
        <v/>
      </c>
      <c r="D41" s="2160" t="s">
        <v>533</v>
      </c>
      <c r="E41" s="2161"/>
      <c r="F41" s="166"/>
      <c r="G41" s="166"/>
      <c r="H41" s="166"/>
      <c r="I41" s="166"/>
      <c r="J41" s="166"/>
      <c r="K41" s="166"/>
      <c r="L41" s="166"/>
      <c r="M41" s="166"/>
      <c r="N41" s="166"/>
      <c r="O41" s="166"/>
      <c r="P41" s="166"/>
      <c r="Q41" s="166"/>
      <c r="R41" s="166"/>
      <c r="S41" s="166"/>
      <c r="T41" s="166"/>
      <c r="U41" s="166"/>
      <c r="V41" s="166"/>
      <c r="W41" s="166"/>
      <c r="X41" s="166"/>
      <c r="Y41" s="166"/>
      <c r="Z41" s="166"/>
      <c r="AA41" s="166"/>
      <c r="AB41" s="166"/>
      <c r="AC41" s="166"/>
      <c r="AD41" s="166"/>
      <c r="AE41" s="166"/>
      <c r="AF41" s="166"/>
      <c r="AG41" s="166"/>
      <c r="AH41" s="166"/>
      <c r="AI41" s="166"/>
      <c r="AJ41" s="166"/>
      <c r="AK41" s="621">
        <f>MIN(SUMIF($F$4:$AJ$4,"&gt;0",F41:AJ41),【様式2】職員名簿!$F$5)</f>
        <v>0</v>
      </c>
    </row>
    <row r="42" spans="2:37" ht="15" customHeight="1">
      <c r="B42" s="165">
        <f t="shared" si="2"/>
        <v>36</v>
      </c>
      <c r="C42" s="616" t="str">
        <f>IFERROR(INDEX(【様式2】職員名簿!$B$41:$B$140,MATCH($B42,【様式2】職員名簿!$O$41:$O$140,0),1),"")</f>
        <v/>
      </c>
      <c r="D42" s="2160" t="s">
        <v>533</v>
      </c>
      <c r="E42" s="2161"/>
      <c r="F42" s="166"/>
      <c r="G42" s="166"/>
      <c r="H42" s="166"/>
      <c r="I42" s="166"/>
      <c r="J42" s="166"/>
      <c r="K42" s="166"/>
      <c r="L42" s="166"/>
      <c r="M42" s="166"/>
      <c r="N42" s="166"/>
      <c r="O42" s="166"/>
      <c r="P42" s="166"/>
      <c r="Q42" s="166"/>
      <c r="R42" s="166"/>
      <c r="S42" s="166"/>
      <c r="T42" s="166"/>
      <c r="U42" s="166"/>
      <c r="V42" s="166"/>
      <c r="W42" s="166"/>
      <c r="X42" s="166"/>
      <c r="Y42" s="166"/>
      <c r="Z42" s="166"/>
      <c r="AA42" s="166"/>
      <c r="AB42" s="166"/>
      <c r="AC42" s="166"/>
      <c r="AD42" s="166"/>
      <c r="AE42" s="166"/>
      <c r="AF42" s="166"/>
      <c r="AG42" s="166"/>
      <c r="AH42" s="166"/>
      <c r="AI42" s="166"/>
      <c r="AJ42" s="166"/>
      <c r="AK42" s="621">
        <f>MIN(SUMIF($F$4:$AJ$4,"&gt;0",F42:AJ42),【様式2】職員名簿!$F$5)</f>
        <v>0</v>
      </c>
    </row>
    <row r="43" spans="2:37" ht="15" customHeight="1">
      <c r="B43" s="165">
        <f t="shared" si="2"/>
        <v>37</v>
      </c>
      <c r="C43" s="616" t="str">
        <f>IFERROR(INDEX(【様式2】職員名簿!$B$41:$B$140,MATCH($B43,【様式2】職員名簿!$O$41:$O$140,0),1),"")</f>
        <v/>
      </c>
      <c r="D43" s="2160" t="s">
        <v>533</v>
      </c>
      <c r="E43" s="2161"/>
      <c r="F43" s="166"/>
      <c r="G43" s="166"/>
      <c r="H43" s="166"/>
      <c r="I43" s="166"/>
      <c r="J43" s="166"/>
      <c r="K43" s="166"/>
      <c r="L43" s="166"/>
      <c r="M43" s="166"/>
      <c r="N43" s="166"/>
      <c r="O43" s="166"/>
      <c r="P43" s="166"/>
      <c r="Q43" s="166"/>
      <c r="R43" s="166"/>
      <c r="S43" s="166"/>
      <c r="T43" s="166"/>
      <c r="U43" s="166"/>
      <c r="V43" s="166"/>
      <c r="W43" s="166"/>
      <c r="X43" s="166"/>
      <c r="Y43" s="166"/>
      <c r="Z43" s="166"/>
      <c r="AA43" s="166"/>
      <c r="AB43" s="166"/>
      <c r="AC43" s="166"/>
      <c r="AD43" s="166"/>
      <c r="AE43" s="166"/>
      <c r="AF43" s="166"/>
      <c r="AG43" s="166"/>
      <c r="AH43" s="166"/>
      <c r="AI43" s="166"/>
      <c r="AJ43" s="166"/>
      <c r="AK43" s="621">
        <f>MIN(SUMIF($F$4:$AJ$4,"&gt;0",F43:AJ43),【様式2】職員名簿!$F$5)</f>
        <v>0</v>
      </c>
    </row>
    <row r="44" spans="2:37" ht="15" customHeight="1">
      <c r="B44" s="165">
        <f t="shared" si="2"/>
        <v>38</v>
      </c>
      <c r="C44" s="616" t="str">
        <f>IFERROR(INDEX(【様式2】職員名簿!$B$41:$B$140,MATCH($B44,【様式2】職員名簿!$O$41:$O$140,0),1),"")</f>
        <v/>
      </c>
      <c r="D44" s="2160" t="s">
        <v>533</v>
      </c>
      <c r="E44" s="2161"/>
      <c r="F44" s="166"/>
      <c r="G44" s="166"/>
      <c r="H44" s="166"/>
      <c r="I44" s="166"/>
      <c r="J44" s="166"/>
      <c r="K44" s="166"/>
      <c r="L44" s="166"/>
      <c r="M44" s="166"/>
      <c r="N44" s="166"/>
      <c r="O44" s="166"/>
      <c r="P44" s="166"/>
      <c r="Q44" s="166"/>
      <c r="R44" s="166"/>
      <c r="S44" s="166"/>
      <c r="T44" s="166"/>
      <c r="U44" s="166"/>
      <c r="V44" s="166"/>
      <c r="W44" s="166"/>
      <c r="X44" s="166"/>
      <c r="Y44" s="166"/>
      <c r="Z44" s="166"/>
      <c r="AA44" s="166"/>
      <c r="AB44" s="166"/>
      <c r="AC44" s="166"/>
      <c r="AD44" s="166"/>
      <c r="AE44" s="166"/>
      <c r="AF44" s="166"/>
      <c r="AG44" s="166"/>
      <c r="AH44" s="166"/>
      <c r="AI44" s="166"/>
      <c r="AJ44" s="166"/>
      <c r="AK44" s="621">
        <f>MIN(SUMIF($F$4:$AJ$4,"&gt;0",F44:AJ44),【様式2】職員名簿!$F$5)</f>
        <v>0</v>
      </c>
    </row>
    <row r="45" spans="2:37" ht="15" customHeight="1">
      <c r="B45" s="165">
        <f t="shared" si="2"/>
        <v>39</v>
      </c>
      <c r="C45" s="616" t="str">
        <f>IFERROR(INDEX(【様式2】職員名簿!$B$41:$B$140,MATCH($B45,【様式2】職員名簿!$O$41:$O$140,0),1),"")</f>
        <v/>
      </c>
      <c r="D45" s="2160" t="s">
        <v>533</v>
      </c>
      <c r="E45" s="2161"/>
      <c r="F45" s="166"/>
      <c r="G45" s="166"/>
      <c r="H45" s="166"/>
      <c r="I45" s="166"/>
      <c r="J45" s="166"/>
      <c r="K45" s="166"/>
      <c r="L45" s="166"/>
      <c r="M45" s="166"/>
      <c r="N45" s="166"/>
      <c r="O45" s="166"/>
      <c r="P45" s="166"/>
      <c r="Q45" s="166"/>
      <c r="R45" s="166"/>
      <c r="S45" s="166"/>
      <c r="T45" s="166"/>
      <c r="U45" s="166"/>
      <c r="V45" s="166"/>
      <c r="W45" s="166"/>
      <c r="X45" s="166"/>
      <c r="Y45" s="166"/>
      <c r="Z45" s="166"/>
      <c r="AA45" s="166"/>
      <c r="AB45" s="166"/>
      <c r="AC45" s="166"/>
      <c r="AD45" s="166"/>
      <c r="AE45" s="166"/>
      <c r="AF45" s="166"/>
      <c r="AG45" s="166"/>
      <c r="AH45" s="166"/>
      <c r="AI45" s="166"/>
      <c r="AJ45" s="166"/>
      <c r="AK45" s="621">
        <f>MIN(SUMIF($F$4:$AJ$4,"&gt;0",F45:AJ45),【様式2】職員名簿!$F$5)</f>
        <v>0</v>
      </c>
    </row>
    <row r="46" spans="2:37" ht="15" customHeight="1">
      <c r="B46" s="165">
        <f t="shared" si="2"/>
        <v>40</v>
      </c>
      <c r="C46" s="616" t="str">
        <f>IFERROR(INDEX(【様式2】職員名簿!$B$41:$B$140,MATCH($B46,【様式2】職員名簿!$O$41:$O$140,0),1),"")</f>
        <v/>
      </c>
      <c r="D46" s="2160" t="s">
        <v>533</v>
      </c>
      <c r="E46" s="2161"/>
      <c r="F46" s="166"/>
      <c r="G46" s="166"/>
      <c r="H46" s="166"/>
      <c r="I46" s="166"/>
      <c r="J46" s="166"/>
      <c r="K46" s="166"/>
      <c r="L46" s="166"/>
      <c r="M46" s="166"/>
      <c r="N46" s="166"/>
      <c r="O46" s="166"/>
      <c r="P46" s="166"/>
      <c r="Q46" s="166"/>
      <c r="R46" s="166"/>
      <c r="S46" s="166"/>
      <c r="T46" s="166"/>
      <c r="U46" s="166"/>
      <c r="V46" s="166"/>
      <c r="W46" s="166"/>
      <c r="X46" s="166"/>
      <c r="Y46" s="166"/>
      <c r="Z46" s="166"/>
      <c r="AA46" s="166"/>
      <c r="AB46" s="166"/>
      <c r="AC46" s="166"/>
      <c r="AD46" s="166"/>
      <c r="AE46" s="166"/>
      <c r="AF46" s="166"/>
      <c r="AG46" s="166"/>
      <c r="AH46" s="166"/>
      <c r="AI46" s="166"/>
      <c r="AJ46" s="166"/>
      <c r="AK46" s="621">
        <f>MIN(SUMIF($F$4:$AJ$4,"&gt;0",F46:AJ46),【様式2】職員名簿!$F$5)</f>
        <v>0</v>
      </c>
    </row>
    <row r="47" spans="2:37" ht="15" customHeight="1">
      <c r="B47" s="165">
        <f t="shared" si="2"/>
        <v>41</v>
      </c>
      <c r="C47" s="616" t="str">
        <f>IFERROR(INDEX(【様式2】職員名簿!$B$41:$B$140,MATCH($B47,【様式2】職員名簿!$O$41:$O$140,0),1),"")</f>
        <v/>
      </c>
      <c r="D47" s="2160" t="s">
        <v>533</v>
      </c>
      <c r="E47" s="2161"/>
      <c r="F47" s="166"/>
      <c r="G47" s="166"/>
      <c r="H47" s="166"/>
      <c r="I47" s="166"/>
      <c r="J47" s="166"/>
      <c r="K47" s="166"/>
      <c r="L47" s="166"/>
      <c r="M47" s="166"/>
      <c r="N47" s="166"/>
      <c r="O47" s="166"/>
      <c r="P47" s="166"/>
      <c r="Q47" s="166"/>
      <c r="R47" s="166"/>
      <c r="S47" s="166"/>
      <c r="T47" s="166"/>
      <c r="U47" s="166"/>
      <c r="V47" s="166"/>
      <c r="W47" s="166"/>
      <c r="X47" s="166"/>
      <c r="Y47" s="166"/>
      <c r="Z47" s="166"/>
      <c r="AA47" s="166"/>
      <c r="AB47" s="166"/>
      <c r="AC47" s="166"/>
      <c r="AD47" s="166"/>
      <c r="AE47" s="166"/>
      <c r="AF47" s="166"/>
      <c r="AG47" s="166"/>
      <c r="AH47" s="166"/>
      <c r="AI47" s="166"/>
      <c r="AJ47" s="166"/>
      <c r="AK47" s="621">
        <f>MIN(SUMIF($F$4:$AJ$4,"&gt;0",F47:AJ47),【様式2】職員名簿!$F$5)</f>
        <v>0</v>
      </c>
    </row>
    <row r="48" spans="2:37" ht="15" customHeight="1">
      <c r="B48" s="165">
        <f t="shared" si="2"/>
        <v>42</v>
      </c>
      <c r="C48" s="616" t="str">
        <f>IFERROR(INDEX(【様式2】職員名簿!$B$41:$B$140,MATCH($B48,【様式2】職員名簿!$O$41:$O$140,0),1),"")</f>
        <v/>
      </c>
      <c r="D48" s="2160" t="s">
        <v>533</v>
      </c>
      <c r="E48" s="2161"/>
      <c r="F48" s="166"/>
      <c r="G48" s="166"/>
      <c r="H48" s="166"/>
      <c r="I48" s="166"/>
      <c r="J48" s="166"/>
      <c r="K48" s="166"/>
      <c r="L48" s="166"/>
      <c r="M48" s="166"/>
      <c r="N48" s="166"/>
      <c r="O48" s="166"/>
      <c r="P48" s="166"/>
      <c r="Q48" s="166"/>
      <c r="R48" s="166"/>
      <c r="S48" s="166"/>
      <c r="T48" s="166"/>
      <c r="U48" s="166"/>
      <c r="V48" s="166"/>
      <c r="W48" s="166"/>
      <c r="X48" s="166"/>
      <c r="Y48" s="166"/>
      <c r="Z48" s="166"/>
      <c r="AA48" s="166"/>
      <c r="AB48" s="166"/>
      <c r="AC48" s="166"/>
      <c r="AD48" s="166"/>
      <c r="AE48" s="166"/>
      <c r="AF48" s="166"/>
      <c r="AG48" s="166"/>
      <c r="AH48" s="166"/>
      <c r="AI48" s="166"/>
      <c r="AJ48" s="166"/>
      <c r="AK48" s="621">
        <f>MIN(SUMIF($F$4:$AJ$4,"&gt;0",F48:AJ48),【様式2】職員名簿!$F$5)</f>
        <v>0</v>
      </c>
    </row>
    <row r="49" spans="2:37" ht="15" customHeight="1">
      <c r="B49" s="165">
        <f t="shared" si="2"/>
        <v>43</v>
      </c>
      <c r="C49" s="616" t="str">
        <f>IFERROR(INDEX(【様式2】職員名簿!$B$41:$B$140,MATCH($B49,【様式2】職員名簿!$O$41:$O$140,0),1),"")</f>
        <v/>
      </c>
      <c r="D49" s="2160" t="s">
        <v>533</v>
      </c>
      <c r="E49" s="2161"/>
      <c r="F49" s="166"/>
      <c r="G49" s="166"/>
      <c r="H49" s="166"/>
      <c r="I49" s="166"/>
      <c r="J49" s="166"/>
      <c r="K49" s="166"/>
      <c r="L49" s="166"/>
      <c r="M49" s="166"/>
      <c r="N49" s="166"/>
      <c r="O49" s="166"/>
      <c r="P49" s="166"/>
      <c r="Q49" s="166"/>
      <c r="R49" s="166"/>
      <c r="S49" s="166"/>
      <c r="T49" s="166"/>
      <c r="U49" s="166"/>
      <c r="V49" s="166"/>
      <c r="W49" s="166"/>
      <c r="X49" s="166"/>
      <c r="Y49" s="166"/>
      <c r="Z49" s="166"/>
      <c r="AA49" s="166"/>
      <c r="AB49" s="166"/>
      <c r="AC49" s="166"/>
      <c r="AD49" s="166"/>
      <c r="AE49" s="166"/>
      <c r="AF49" s="166"/>
      <c r="AG49" s="166"/>
      <c r="AH49" s="166"/>
      <c r="AI49" s="166"/>
      <c r="AJ49" s="166"/>
      <c r="AK49" s="621">
        <f>MIN(SUMIF($F$4:$AJ$4,"&gt;0",F49:AJ49),【様式2】職員名簿!$F$5)</f>
        <v>0</v>
      </c>
    </row>
    <row r="50" spans="2:37" ht="15" customHeight="1">
      <c r="B50" s="165">
        <f t="shared" si="2"/>
        <v>44</v>
      </c>
      <c r="C50" s="616" t="str">
        <f>IFERROR(INDEX(【様式2】職員名簿!$B$41:$B$140,MATCH($B50,【様式2】職員名簿!$O$41:$O$140,0),1),"")</f>
        <v/>
      </c>
      <c r="D50" s="2160" t="s">
        <v>533</v>
      </c>
      <c r="E50" s="2161"/>
      <c r="F50" s="166"/>
      <c r="G50" s="166"/>
      <c r="H50" s="166"/>
      <c r="I50" s="166"/>
      <c r="J50" s="166"/>
      <c r="K50" s="166"/>
      <c r="L50" s="166"/>
      <c r="M50" s="166"/>
      <c r="N50" s="166"/>
      <c r="O50" s="166"/>
      <c r="P50" s="166"/>
      <c r="Q50" s="166"/>
      <c r="R50" s="166"/>
      <c r="S50" s="166"/>
      <c r="T50" s="166"/>
      <c r="U50" s="166"/>
      <c r="V50" s="166"/>
      <c r="W50" s="166"/>
      <c r="X50" s="166"/>
      <c r="Y50" s="166"/>
      <c r="Z50" s="166"/>
      <c r="AA50" s="166"/>
      <c r="AB50" s="166"/>
      <c r="AC50" s="166"/>
      <c r="AD50" s="166"/>
      <c r="AE50" s="166"/>
      <c r="AF50" s="166"/>
      <c r="AG50" s="166"/>
      <c r="AH50" s="166"/>
      <c r="AI50" s="166"/>
      <c r="AJ50" s="166"/>
      <c r="AK50" s="621">
        <f>MIN(SUMIF($F$4:$AJ$4,"&gt;0",F50:AJ50),【様式2】職員名簿!$F$5)</f>
        <v>0</v>
      </c>
    </row>
    <row r="51" spans="2:37" ht="15" customHeight="1">
      <c r="B51" s="165">
        <f t="shared" si="2"/>
        <v>45</v>
      </c>
      <c r="C51" s="616" t="str">
        <f>IFERROR(INDEX(【様式2】職員名簿!$B$41:$B$140,MATCH($B51,【様式2】職員名簿!$O$41:$O$140,0),1),"")</f>
        <v/>
      </c>
      <c r="D51" s="2160" t="s">
        <v>533</v>
      </c>
      <c r="E51" s="2161"/>
      <c r="F51" s="166"/>
      <c r="G51" s="166"/>
      <c r="H51" s="166"/>
      <c r="I51" s="166"/>
      <c r="J51" s="166"/>
      <c r="K51" s="166"/>
      <c r="L51" s="166"/>
      <c r="M51" s="166"/>
      <c r="N51" s="166"/>
      <c r="O51" s="166"/>
      <c r="P51" s="166"/>
      <c r="Q51" s="166"/>
      <c r="R51" s="166"/>
      <c r="S51" s="166"/>
      <c r="T51" s="166"/>
      <c r="U51" s="166"/>
      <c r="V51" s="166"/>
      <c r="W51" s="166"/>
      <c r="X51" s="166"/>
      <c r="Y51" s="166"/>
      <c r="Z51" s="166"/>
      <c r="AA51" s="166"/>
      <c r="AB51" s="166"/>
      <c r="AC51" s="166"/>
      <c r="AD51" s="166"/>
      <c r="AE51" s="166"/>
      <c r="AF51" s="166"/>
      <c r="AG51" s="166"/>
      <c r="AH51" s="166"/>
      <c r="AI51" s="166"/>
      <c r="AJ51" s="166"/>
      <c r="AK51" s="621">
        <f>MIN(SUMIF($F$4:$AJ$4,"&gt;0",F51:AJ51),【様式2】職員名簿!$F$5)</f>
        <v>0</v>
      </c>
    </row>
    <row r="52" spans="2:37" ht="15" customHeight="1">
      <c r="B52" s="165">
        <f t="shared" si="2"/>
        <v>46</v>
      </c>
      <c r="C52" s="616" t="str">
        <f>IFERROR(INDEX(【様式2】職員名簿!$B$41:$B$140,MATCH($B52,【様式2】職員名簿!$O$41:$O$140,0),1),"")</f>
        <v/>
      </c>
      <c r="D52" s="2160" t="s">
        <v>533</v>
      </c>
      <c r="E52" s="2161"/>
      <c r="F52" s="166"/>
      <c r="G52" s="166"/>
      <c r="H52" s="166"/>
      <c r="I52" s="166"/>
      <c r="J52" s="166"/>
      <c r="K52" s="166"/>
      <c r="L52" s="166"/>
      <c r="M52" s="166"/>
      <c r="N52" s="166"/>
      <c r="O52" s="166"/>
      <c r="P52" s="166"/>
      <c r="Q52" s="166"/>
      <c r="R52" s="166"/>
      <c r="S52" s="166"/>
      <c r="T52" s="166"/>
      <c r="U52" s="166"/>
      <c r="V52" s="166"/>
      <c r="W52" s="166"/>
      <c r="X52" s="166"/>
      <c r="Y52" s="166"/>
      <c r="Z52" s="166"/>
      <c r="AA52" s="166"/>
      <c r="AB52" s="166"/>
      <c r="AC52" s="166"/>
      <c r="AD52" s="166"/>
      <c r="AE52" s="166"/>
      <c r="AF52" s="166"/>
      <c r="AG52" s="166"/>
      <c r="AH52" s="166"/>
      <c r="AI52" s="166"/>
      <c r="AJ52" s="166"/>
      <c r="AK52" s="621">
        <f>MIN(SUMIF($F$4:$AJ$4,"&gt;0",F52:AJ52),【様式2】職員名簿!$F$5)</f>
        <v>0</v>
      </c>
    </row>
    <row r="53" spans="2:37" ht="15" customHeight="1">
      <c r="B53" s="165">
        <f t="shared" si="2"/>
        <v>47</v>
      </c>
      <c r="C53" s="616" t="str">
        <f>IFERROR(INDEX(【様式2】職員名簿!$B$41:$B$140,MATCH($B53,【様式2】職員名簿!$O$41:$O$140,0),1),"")</f>
        <v/>
      </c>
      <c r="D53" s="2160" t="s">
        <v>533</v>
      </c>
      <c r="E53" s="2161"/>
      <c r="F53" s="166"/>
      <c r="G53" s="166"/>
      <c r="H53" s="166"/>
      <c r="I53" s="166"/>
      <c r="J53" s="166"/>
      <c r="K53" s="166"/>
      <c r="L53" s="166"/>
      <c r="M53" s="166"/>
      <c r="N53" s="166"/>
      <c r="O53" s="166"/>
      <c r="P53" s="166"/>
      <c r="Q53" s="166"/>
      <c r="R53" s="166"/>
      <c r="S53" s="166"/>
      <c r="T53" s="166"/>
      <c r="U53" s="166"/>
      <c r="V53" s="166"/>
      <c r="W53" s="166"/>
      <c r="X53" s="166"/>
      <c r="Y53" s="166"/>
      <c r="Z53" s="166"/>
      <c r="AA53" s="166"/>
      <c r="AB53" s="166"/>
      <c r="AC53" s="166"/>
      <c r="AD53" s="166"/>
      <c r="AE53" s="166"/>
      <c r="AF53" s="166"/>
      <c r="AG53" s="166"/>
      <c r="AH53" s="166"/>
      <c r="AI53" s="166"/>
      <c r="AJ53" s="166"/>
      <c r="AK53" s="621">
        <f>MIN(SUMIF($F$4:$AJ$4,"&gt;0",F53:AJ53),【様式2】職員名簿!$F$5)</f>
        <v>0</v>
      </c>
    </row>
    <row r="54" spans="2:37" ht="15" customHeight="1">
      <c r="B54" s="165">
        <f t="shared" si="2"/>
        <v>48</v>
      </c>
      <c r="C54" s="616" t="str">
        <f>IFERROR(INDEX(【様式2】職員名簿!$B$41:$B$140,MATCH($B54,【様式2】職員名簿!$O$41:$O$140,0),1),"")</f>
        <v/>
      </c>
      <c r="D54" s="2160" t="s">
        <v>533</v>
      </c>
      <c r="E54" s="2161"/>
      <c r="F54" s="166"/>
      <c r="G54" s="166"/>
      <c r="H54" s="166"/>
      <c r="I54" s="166"/>
      <c r="J54" s="166"/>
      <c r="K54" s="166"/>
      <c r="L54" s="166"/>
      <c r="M54" s="166"/>
      <c r="N54" s="166"/>
      <c r="O54" s="166"/>
      <c r="P54" s="166"/>
      <c r="Q54" s="166"/>
      <c r="R54" s="166"/>
      <c r="S54" s="166"/>
      <c r="T54" s="166"/>
      <c r="U54" s="166"/>
      <c r="V54" s="166"/>
      <c r="W54" s="166"/>
      <c r="X54" s="166"/>
      <c r="Y54" s="166"/>
      <c r="Z54" s="166"/>
      <c r="AA54" s="166"/>
      <c r="AB54" s="166"/>
      <c r="AC54" s="166"/>
      <c r="AD54" s="166"/>
      <c r="AE54" s="166"/>
      <c r="AF54" s="166"/>
      <c r="AG54" s="166"/>
      <c r="AH54" s="166"/>
      <c r="AI54" s="166"/>
      <c r="AJ54" s="166"/>
      <c r="AK54" s="621">
        <f>MIN(SUMIF($F$4:$AJ$4,"&gt;0",F54:AJ54),【様式2】職員名簿!$F$5)</f>
        <v>0</v>
      </c>
    </row>
    <row r="55" spans="2:37" ht="15" customHeight="1">
      <c r="B55" s="165">
        <f t="shared" si="2"/>
        <v>49</v>
      </c>
      <c r="C55" s="616" t="str">
        <f>IFERROR(INDEX(【様式2】職員名簿!$B$41:$B$140,MATCH($B55,【様式2】職員名簿!$O$41:$O$140,0),1),"")</f>
        <v/>
      </c>
      <c r="D55" s="2160" t="s">
        <v>533</v>
      </c>
      <c r="E55" s="2161"/>
      <c r="F55" s="166"/>
      <c r="G55" s="166"/>
      <c r="H55" s="166"/>
      <c r="I55" s="166"/>
      <c r="J55" s="166"/>
      <c r="K55" s="166"/>
      <c r="L55" s="166"/>
      <c r="M55" s="166"/>
      <c r="N55" s="166"/>
      <c r="O55" s="166"/>
      <c r="P55" s="166"/>
      <c r="Q55" s="166"/>
      <c r="R55" s="166"/>
      <c r="S55" s="166"/>
      <c r="T55" s="166"/>
      <c r="U55" s="166"/>
      <c r="V55" s="166"/>
      <c r="W55" s="166"/>
      <c r="X55" s="166"/>
      <c r="Y55" s="166"/>
      <c r="Z55" s="166"/>
      <c r="AA55" s="166"/>
      <c r="AB55" s="166"/>
      <c r="AC55" s="166"/>
      <c r="AD55" s="166"/>
      <c r="AE55" s="166"/>
      <c r="AF55" s="166"/>
      <c r="AG55" s="166"/>
      <c r="AH55" s="166"/>
      <c r="AI55" s="166"/>
      <c r="AJ55" s="166"/>
      <c r="AK55" s="621">
        <f>MIN(SUMIF($F$4:$AJ$4,"&gt;0",F55:AJ55),【様式2】職員名簿!$F$5)</f>
        <v>0</v>
      </c>
    </row>
    <row r="56" spans="2:37" ht="15" customHeight="1">
      <c r="B56" s="165">
        <f t="shared" si="2"/>
        <v>50</v>
      </c>
      <c r="C56" s="616" t="str">
        <f>IFERROR(INDEX(【様式2】職員名簿!$B$41:$B$140,MATCH($B56,【様式2】職員名簿!$O$41:$O$140,0),1),"")</f>
        <v/>
      </c>
      <c r="D56" s="2160" t="s">
        <v>533</v>
      </c>
      <c r="E56" s="2161"/>
      <c r="F56" s="166"/>
      <c r="G56" s="166"/>
      <c r="H56" s="166"/>
      <c r="I56" s="166"/>
      <c r="J56" s="166"/>
      <c r="K56" s="166"/>
      <c r="L56" s="166"/>
      <c r="M56" s="166"/>
      <c r="N56" s="166"/>
      <c r="O56" s="166"/>
      <c r="P56" s="166"/>
      <c r="Q56" s="166"/>
      <c r="R56" s="166"/>
      <c r="S56" s="166"/>
      <c r="T56" s="166"/>
      <c r="U56" s="166"/>
      <c r="V56" s="166"/>
      <c r="W56" s="166"/>
      <c r="X56" s="166"/>
      <c r="Y56" s="166"/>
      <c r="Z56" s="166"/>
      <c r="AA56" s="166"/>
      <c r="AB56" s="166"/>
      <c r="AC56" s="166"/>
      <c r="AD56" s="166"/>
      <c r="AE56" s="166"/>
      <c r="AF56" s="166"/>
      <c r="AG56" s="166"/>
      <c r="AH56" s="166"/>
      <c r="AI56" s="166"/>
      <c r="AJ56" s="166"/>
      <c r="AK56" s="621">
        <f>MIN(SUMIF($F$4:$AJ$4,"&gt;0",F56:AJ56),【様式2】職員名簿!$F$5)</f>
        <v>0</v>
      </c>
    </row>
    <row r="57" spans="2:37" ht="15" customHeight="1">
      <c r="B57" s="165">
        <f t="shared" si="2"/>
        <v>51</v>
      </c>
      <c r="C57" s="616" t="str">
        <f>IFERROR(INDEX(【様式2】職員名簿!$B$41:$B$140,MATCH($B57,【様式2】職員名簿!$O$41:$O$140,0),1),"")</f>
        <v/>
      </c>
      <c r="D57" s="2160" t="s">
        <v>533</v>
      </c>
      <c r="E57" s="2161"/>
      <c r="F57" s="166"/>
      <c r="G57" s="166"/>
      <c r="H57" s="166"/>
      <c r="I57" s="166"/>
      <c r="J57" s="166"/>
      <c r="K57" s="166"/>
      <c r="L57" s="166"/>
      <c r="M57" s="166"/>
      <c r="N57" s="166"/>
      <c r="O57" s="166"/>
      <c r="P57" s="166"/>
      <c r="Q57" s="166"/>
      <c r="R57" s="166"/>
      <c r="S57" s="166"/>
      <c r="T57" s="166"/>
      <c r="U57" s="166"/>
      <c r="V57" s="166"/>
      <c r="W57" s="166"/>
      <c r="X57" s="166"/>
      <c r="Y57" s="166"/>
      <c r="Z57" s="166"/>
      <c r="AA57" s="166"/>
      <c r="AB57" s="166"/>
      <c r="AC57" s="166"/>
      <c r="AD57" s="166"/>
      <c r="AE57" s="166"/>
      <c r="AF57" s="166"/>
      <c r="AG57" s="166"/>
      <c r="AH57" s="166"/>
      <c r="AI57" s="166"/>
      <c r="AJ57" s="166"/>
      <c r="AK57" s="621">
        <f>MIN(SUMIF($F$4:$AJ$4,"&gt;0",F57:AJ57),【様式2】職員名簿!$F$5)</f>
        <v>0</v>
      </c>
    </row>
    <row r="58" spans="2:37" ht="15" customHeight="1">
      <c r="B58" s="165">
        <f t="shared" si="2"/>
        <v>52</v>
      </c>
      <c r="C58" s="616" t="str">
        <f>IFERROR(INDEX(【様式2】職員名簿!$B$41:$B$140,MATCH($B58,【様式2】職員名簿!$O$41:$O$140,0),1),"")</f>
        <v/>
      </c>
      <c r="D58" s="2160" t="s">
        <v>533</v>
      </c>
      <c r="E58" s="2161"/>
      <c r="F58" s="166"/>
      <c r="G58" s="166"/>
      <c r="H58" s="166"/>
      <c r="I58" s="166"/>
      <c r="J58" s="166"/>
      <c r="K58" s="166"/>
      <c r="L58" s="166"/>
      <c r="M58" s="166"/>
      <c r="N58" s="166"/>
      <c r="O58" s="166"/>
      <c r="P58" s="166"/>
      <c r="Q58" s="166"/>
      <c r="R58" s="166"/>
      <c r="S58" s="166"/>
      <c r="T58" s="166"/>
      <c r="U58" s="166"/>
      <c r="V58" s="166"/>
      <c r="W58" s="166"/>
      <c r="X58" s="166"/>
      <c r="Y58" s="166"/>
      <c r="Z58" s="166"/>
      <c r="AA58" s="166"/>
      <c r="AB58" s="166"/>
      <c r="AC58" s="166"/>
      <c r="AD58" s="166"/>
      <c r="AE58" s="166"/>
      <c r="AF58" s="166"/>
      <c r="AG58" s="166"/>
      <c r="AH58" s="166"/>
      <c r="AI58" s="166"/>
      <c r="AJ58" s="166"/>
      <c r="AK58" s="621">
        <f>MIN(SUMIF($F$4:$AJ$4,"&gt;0",F58:AJ58),【様式2】職員名簿!$F$5)</f>
        <v>0</v>
      </c>
    </row>
    <row r="59" spans="2:37" ht="15" customHeight="1">
      <c r="B59" s="165">
        <f t="shared" si="2"/>
        <v>53</v>
      </c>
      <c r="C59" s="616" t="str">
        <f>IFERROR(INDEX(【様式2】職員名簿!$B$41:$B$140,MATCH($B59,【様式2】職員名簿!$O$41:$O$140,0),1),"")</f>
        <v/>
      </c>
      <c r="D59" s="2160" t="s">
        <v>533</v>
      </c>
      <c r="E59" s="2161"/>
      <c r="F59" s="166"/>
      <c r="G59" s="166"/>
      <c r="H59" s="166"/>
      <c r="I59" s="166"/>
      <c r="J59" s="166"/>
      <c r="K59" s="166"/>
      <c r="L59" s="166"/>
      <c r="M59" s="166"/>
      <c r="N59" s="166"/>
      <c r="O59" s="166"/>
      <c r="P59" s="166"/>
      <c r="Q59" s="166"/>
      <c r="R59" s="166"/>
      <c r="S59" s="166"/>
      <c r="T59" s="166"/>
      <c r="U59" s="166"/>
      <c r="V59" s="166"/>
      <c r="W59" s="166"/>
      <c r="X59" s="166"/>
      <c r="Y59" s="166"/>
      <c r="Z59" s="166"/>
      <c r="AA59" s="166"/>
      <c r="AB59" s="166"/>
      <c r="AC59" s="166"/>
      <c r="AD59" s="166"/>
      <c r="AE59" s="166"/>
      <c r="AF59" s="166"/>
      <c r="AG59" s="166"/>
      <c r="AH59" s="166"/>
      <c r="AI59" s="166"/>
      <c r="AJ59" s="166"/>
      <c r="AK59" s="621">
        <f>MIN(SUMIF($F$4:$AJ$4,"&gt;0",F59:AJ59),【様式2】職員名簿!$F$5)</f>
        <v>0</v>
      </c>
    </row>
    <row r="60" spans="2:37" ht="15" customHeight="1">
      <c r="B60" s="165">
        <f t="shared" si="2"/>
        <v>54</v>
      </c>
      <c r="C60" s="616" t="str">
        <f>IFERROR(INDEX(【様式2】職員名簿!$B$41:$B$140,MATCH($B60,【様式2】職員名簿!$O$41:$O$140,0),1),"")</f>
        <v/>
      </c>
      <c r="D60" s="2160" t="s">
        <v>533</v>
      </c>
      <c r="E60" s="2161"/>
      <c r="F60" s="166"/>
      <c r="G60" s="166"/>
      <c r="H60" s="166"/>
      <c r="I60" s="166"/>
      <c r="J60" s="166"/>
      <c r="K60" s="166"/>
      <c r="L60" s="166"/>
      <c r="M60" s="166"/>
      <c r="N60" s="166"/>
      <c r="O60" s="166"/>
      <c r="P60" s="166"/>
      <c r="Q60" s="166"/>
      <c r="R60" s="166"/>
      <c r="S60" s="166"/>
      <c r="T60" s="166"/>
      <c r="U60" s="166"/>
      <c r="V60" s="166"/>
      <c r="W60" s="166"/>
      <c r="X60" s="166"/>
      <c r="Y60" s="166"/>
      <c r="Z60" s="166"/>
      <c r="AA60" s="166"/>
      <c r="AB60" s="166"/>
      <c r="AC60" s="166"/>
      <c r="AD60" s="166"/>
      <c r="AE60" s="166"/>
      <c r="AF60" s="166"/>
      <c r="AG60" s="166"/>
      <c r="AH60" s="166"/>
      <c r="AI60" s="166"/>
      <c r="AJ60" s="166"/>
      <c r="AK60" s="621">
        <f>MIN(SUMIF($F$4:$AJ$4,"&gt;0",F60:AJ60),【様式2】職員名簿!$F$5)</f>
        <v>0</v>
      </c>
    </row>
    <row r="61" spans="2:37" ht="15" customHeight="1">
      <c r="B61" s="165">
        <f t="shared" si="2"/>
        <v>55</v>
      </c>
      <c r="C61" s="616" t="str">
        <f>IFERROR(INDEX(【様式2】職員名簿!$B$41:$B$140,MATCH($B61,【様式2】職員名簿!$O$41:$O$140,0),1),"")</f>
        <v/>
      </c>
      <c r="D61" s="2160" t="s">
        <v>533</v>
      </c>
      <c r="E61" s="2161"/>
      <c r="F61" s="166"/>
      <c r="G61" s="166"/>
      <c r="H61" s="166"/>
      <c r="I61" s="166"/>
      <c r="J61" s="166"/>
      <c r="K61" s="166"/>
      <c r="L61" s="166"/>
      <c r="M61" s="166"/>
      <c r="N61" s="166"/>
      <c r="O61" s="166"/>
      <c r="P61" s="166"/>
      <c r="Q61" s="166"/>
      <c r="R61" s="166"/>
      <c r="S61" s="166"/>
      <c r="T61" s="166"/>
      <c r="U61" s="166"/>
      <c r="V61" s="166"/>
      <c r="W61" s="166"/>
      <c r="X61" s="166"/>
      <c r="Y61" s="166"/>
      <c r="Z61" s="166"/>
      <c r="AA61" s="166"/>
      <c r="AB61" s="166"/>
      <c r="AC61" s="166"/>
      <c r="AD61" s="166"/>
      <c r="AE61" s="166"/>
      <c r="AF61" s="166"/>
      <c r="AG61" s="166"/>
      <c r="AH61" s="166"/>
      <c r="AI61" s="166"/>
      <c r="AJ61" s="166"/>
      <c r="AK61" s="621">
        <f>MIN(SUMIF($F$4:$AJ$4,"&gt;0",F61:AJ61),【様式2】職員名簿!$F$5)</f>
        <v>0</v>
      </c>
    </row>
    <row r="62" spans="2:37" ht="15" customHeight="1">
      <c r="B62" s="165">
        <f t="shared" si="2"/>
        <v>56</v>
      </c>
      <c r="C62" s="616" t="str">
        <f>IFERROR(INDEX(【様式2】職員名簿!$B$41:$B$140,MATCH($B62,【様式2】職員名簿!$O$41:$O$140,0),1),"")</f>
        <v/>
      </c>
      <c r="D62" s="2160" t="s">
        <v>533</v>
      </c>
      <c r="E62" s="2161"/>
      <c r="F62" s="166"/>
      <c r="G62" s="166"/>
      <c r="H62" s="166"/>
      <c r="I62" s="166"/>
      <c r="J62" s="166"/>
      <c r="K62" s="166"/>
      <c r="L62" s="166"/>
      <c r="M62" s="166"/>
      <c r="N62" s="166"/>
      <c r="O62" s="166"/>
      <c r="P62" s="166"/>
      <c r="Q62" s="166"/>
      <c r="R62" s="166"/>
      <c r="S62" s="166"/>
      <c r="T62" s="166"/>
      <c r="U62" s="166"/>
      <c r="V62" s="166"/>
      <c r="W62" s="166"/>
      <c r="X62" s="166"/>
      <c r="Y62" s="166"/>
      <c r="Z62" s="166"/>
      <c r="AA62" s="166"/>
      <c r="AB62" s="166"/>
      <c r="AC62" s="166"/>
      <c r="AD62" s="166"/>
      <c r="AE62" s="166"/>
      <c r="AF62" s="166"/>
      <c r="AG62" s="166"/>
      <c r="AH62" s="166"/>
      <c r="AI62" s="166"/>
      <c r="AJ62" s="166"/>
      <c r="AK62" s="621">
        <f>MIN(SUMIF($F$4:$AJ$4,"&gt;0",F62:AJ62),【様式2】職員名簿!$F$5)</f>
        <v>0</v>
      </c>
    </row>
    <row r="63" spans="2:37" ht="15" customHeight="1">
      <c r="B63" s="165">
        <f t="shared" si="2"/>
        <v>57</v>
      </c>
      <c r="C63" s="616" t="str">
        <f>IFERROR(INDEX(【様式2】職員名簿!$B$41:$B$140,MATCH($B63,【様式2】職員名簿!$O$41:$O$140,0),1),"")</f>
        <v/>
      </c>
      <c r="D63" s="2160" t="s">
        <v>533</v>
      </c>
      <c r="E63" s="2161"/>
      <c r="F63" s="166"/>
      <c r="G63" s="166"/>
      <c r="H63" s="166"/>
      <c r="I63" s="166"/>
      <c r="J63" s="166"/>
      <c r="K63" s="166"/>
      <c r="L63" s="166"/>
      <c r="M63" s="166"/>
      <c r="N63" s="166"/>
      <c r="O63" s="166"/>
      <c r="P63" s="166"/>
      <c r="Q63" s="166"/>
      <c r="R63" s="166"/>
      <c r="S63" s="166"/>
      <c r="T63" s="166"/>
      <c r="U63" s="166"/>
      <c r="V63" s="166"/>
      <c r="W63" s="166"/>
      <c r="X63" s="166"/>
      <c r="Y63" s="166"/>
      <c r="Z63" s="166"/>
      <c r="AA63" s="166"/>
      <c r="AB63" s="166"/>
      <c r="AC63" s="166"/>
      <c r="AD63" s="166"/>
      <c r="AE63" s="166"/>
      <c r="AF63" s="166"/>
      <c r="AG63" s="166"/>
      <c r="AH63" s="166"/>
      <c r="AI63" s="166"/>
      <c r="AJ63" s="166"/>
      <c r="AK63" s="621">
        <f>MIN(SUMIF($F$4:$AJ$4,"&gt;0",F63:AJ63),【様式2】職員名簿!$F$5)</f>
        <v>0</v>
      </c>
    </row>
    <row r="64" spans="2:37" ht="15" customHeight="1">
      <c r="B64" s="165">
        <f t="shared" si="2"/>
        <v>58</v>
      </c>
      <c r="C64" s="616" t="str">
        <f>IFERROR(INDEX(【様式2】職員名簿!$B$41:$B$140,MATCH($B64,【様式2】職員名簿!$O$41:$O$140,0),1),"")</f>
        <v/>
      </c>
      <c r="D64" s="2160" t="s">
        <v>533</v>
      </c>
      <c r="E64" s="2161"/>
      <c r="F64" s="166"/>
      <c r="G64" s="166"/>
      <c r="H64" s="166"/>
      <c r="I64" s="166"/>
      <c r="J64" s="166"/>
      <c r="K64" s="166"/>
      <c r="L64" s="166"/>
      <c r="M64" s="166"/>
      <c r="N64" s="166"/>
      <c r="O64" s="166"/>
      <c r="P64" s="166"/>
      <c r="Q64" s="166"/>
      <c r="R64" s="166"/>
      <c r="S64" s="166"/>
      <c r="T64" s="166"/>
      <c r="U64" s="166"/>
      <c r="V64" s="166"/>
      <c r="W64" s="166"/>
      <c r="X64" s="166"/>
      <c r="Y64" s="166"/>
      <c r="Z64" s="166"/>
      <c r="AA64" s="166"/>
      <c r="AB64" s="166"/>
      <c r="AC64" s="166"/>
      <c r="AD64" s="166"/>
      <c r="AE64" s="166"/>
      <c r="AF64" s="166"/>
      <c r="AG64" s="166"/>
      <c r="AH64" s="166"/>
      <c r="AI64" s="166"/>
      <c r="AJ64" s="166"/>
      <c r="AK64" s="621">
        <f>MIN(SUMIF($F$4:$AJ$4,"&gt;0",F64:AJ64),【様式2】職員名簿!$F$5)</f>
        <v>0</v>
      </c>
    </row>
    <row r="65" spans="2:37" ht="15" customHeight="1">
      <c r="B65" s="165">
        <f t="shared" si="2"/>
        <v>59</v>
      </c>
      <c r="C65" s="616" t="str">
        <f>IFERROR(INDEX(【様式2】職員名簿!$B$41:$B$140,MATCH($B65,【様式2】職員名簿!$O$41:$O$140,0),1),"")</f>
        <v/>
      </c>
      <c r="D65" s="2160" t="s">
        <v>533</v>
      </c>
      <c r="E65" s="2161"/>
      <c r="F65" s="166"/>
      <c r="G65" s="166"/>
      <c r="H65" s="166"/>
      <c r="I65" s="166"/>
      <c r="J65" s="166"/>
      <c r="K65" s="166"/>
      <c r="L65" s="166"/>
      <c r="M65" s="166"/>
      <c r="N65" s="166"/>
      <c r="O65" s="166"/>
      <c r="P65" s="166"/>
      <c r="Q65" s="166"/>
      <c r="R65" s="166"/>
      <c r="S65" s="166"/>
      <c r="T65" s="166"/>
      <c r="U65" s="166"/>
      <c r="V65" s="166"/>
      <c r="W65" s="166"/>
      <c r="X65" s="166"/>
      <c r="Y65" s="166"/>
      <c r="Z65" s="166"/>
      <c r="AA65" s="166"/>
      <c r="AB65" s="166"/>
      <c r="AC65" s="166"/>
      <c r="AD65" s="166"/>
      <c r="AE65" s="166"/>
      <c r="AF65" s="166"/>
      <c r="AG65" s="166"/>
      <c r="AH65" s="166"/>
      <c r="AI65" s="166"/>
      <c r="AJ65" s="166"/>
      <c r="AK65" s="621">
        <f>MIN(SUMIF($F$4:$AJ$4,"&gt;0",F65:AJ65),【様式2】職員名簿!$F$5)</f>
        <v>0</v>
      </c>
    </row>
    <row r="66" spans="2:37" ht="15" customHeight="1">
      <c r="B66" s="165">
        <f t="shared" si="2"/>
        <v>60</v>
      </c>
      <c r="C66" s="616" t="str">
        <f>IFERROR(INDEX(【様式2】職員名簿!$B$41:$B$140,MATCH($B66,【様式2】職員名簿!$O$41:$O$140,0),1),"")</f>
        <v/>
      </c>
      <c r="D66" s="2160" t="s">
        <v>533</v>
      </c>
      <c r="E66" s="2161"/>
      <c r="F66" s="166"/>
      <c r="G66" s="166"/>
      <c r="H66" s="166"/>
      <c r="I66" s="166"/>
      <c r="J66" s="166"/>
      <c r="K66" s="166"/>
      <c r="L66" s="166"/>
      <c r="M66" s="166"/>
      <c r="N66" s="166"/>
      <c r="O66" s="166"/>
      <c r="P66" s="166"/>
      <c r="Q66" s="166"/>
      <c r="R66" s="166"/>
      <c r="S66" s="166"/>
      <c r="T66" s="166"/>
      <c r="U66" s="166"/>
      <c r="V66" s="166"/>
      <c r="W66" s="166"/>
      <c r="X66" s="166"/>
      <c r="Y66" s="166"/>
      <c r="Z66" s="166"/>
      <c r="AA66" s="166"/>
      <c r="AB66" s="166"/>
      <c r="AC66" s="166"/>
      <c r="AD66" s="166"/>
      <c r="AE66" s="166"/>
      <c r="AF66" s="166"/>
      <c r="AG66" s="166"/>
      <c r="AH66" s="166"/>
      <c r="AI66" s="166"/>
      <c r="AJ66" s="166"/>
      <c r="AK66" s="621">
        <f>MIN(SUMIF($F$4:$AJ$4,"&gt;0",F66:AJ66),【様式2】職員名簿!$F$5)</f>
        <v>0</v>
      </c>
    </row>
    <row r="67" spans="2:37" ht="15" customHeight="1">
      <c r="B67" s="165">
        <f t="shared" si="2"/>
        <v>61</v>
      </c>
      <c r="C67" s="616" t="str">
        <f>IFERROR(INDEX(【様式2】職員名簿!$B$41:$B$140,MATCH($B67,【様式2】職員名簿!$O$41:$O$140,0),1),"")</f>
        <v/>
      </c>
      <c r="D67" s="2160" t="s">
        <v>533</v>
      </c>
      <c r="E67" s="2161"/>
      <c r="F67" s="166"/>
      <c r="G67" s="166"/>
      <c r="H67" s="166"/>
      <c r="I67" s="166"/>
      <c r="J67" s="166"/>
      <c r="K67" s="166"/>
      <c r="L67" s="166"/>
      <c r="M67" s="166"/>
      <c r="N67" s="166"/>
      <c r="O67" s="166"/>
      <c r="P67" s="166"/>
      <c r="Q67" s="166"/>
      <c r="R67" s="166"/>
      <c r="S67" s="166"/>
      <c r="T67" s="166"/>
      <c r="U67" s="166"/>
      <c r="V67" s="166"/>
      <c r="W67" s="166"/>
      <c r="X67" s="166"/>
      <c r="Y67" s="166"/>
      <c r="Z67" s="166"/>
      <c r="AA67" s="166"/>
      <c r="AB67" s="166"/>
      <c r="AC67" s="166"/>
      <c r="AD67" s="166"/>
      <c r="AE67" s="166"/>
      <c r="AF67" s="166"/>
      <c r="AG67" s="166"/>
      <c r="AH67" s="166"/>
      <c r="AI67" s="166"/>
      <c r="AJ67" s="166"/>
      <c r="AK67" s="621">
        <f>MIN(SUMIF($F$4:$AJ$4,"&gt;0",F67:AJ67),【様式2】職員名簿!$F$5)</f>
        <v>0</v>
      </c>
    </row>
    <row r="68" spans="2:37" ht="15" customHeight="1">
      <c r="B68" s="165">
        <f t="shared" si="2"/>
        <v>62</v>
      </c>
      <c r="C68" s="616" t="str">
        <f>IFERROR(INDEX(【様式2】職員名簿!$B$41:$B$140,MATCH($B68,【様式2】職員名簿!$O$41:$O$140,0),1),"")</f>
        <v/>
      </c>
      <c r="D68" s="2160" t="s">
        <v>533</v>
      </c>
      <c r="E68" s="2161"/>
      <c r="F68" s="166"/>
      <c r="G68" s="166"/>
      <c r="H68" s="166"/>
      <c r="I68" s="166"/>
      <c r="J68" s="166"/>
      <c r="K68" s="166"/>
      <c r="L68" s="166"/>
      <c r="M68" s="166"/>
      <c r="N68" s="166"/>
      <c r="O68" s="166"/>
      <c r="P68" s="166"/>
      <c r="Q68" s="166"/>
      <c r="R68" s="166"/>
      <c r="S68" s="166"/>
      <c r="T68" s="166"/>
      <c r="U68" s="166"/>
      <c r="V68" s="166"/>
      <c r="W68" s="166"/>
      <c r="X68" s="166"/>
      <c r="Y68" s="166"/>
      <c r="Z68" s="166"/>
      <c r="AA68" s="166"/>
      <c r="AB68" s="166"/>
      <c r="AC68" s="166"/>
      <c r="AD68" s="166"/>
      <c r="AE68" s="166"/>
      <c r="AF68" s="166"/>
      <c r="AG68" s="166"/>
      <c r="AH68" s="166"/>
      <c r="AI68" s="166"/>
      <c r="AJ68" s="166"/>
      <c r="AK68" s="621">
        <f>MIN(SUMIF($F$4:$AJ$4,"&gt;0",F68:AJ68),【様式2】職員名簿!$F$5)</f>
        <v>0</v>
      </c>
    </row>
    <row r="69" spans="2:37" ht="15" customHeight="1">
      <c r="B69" s="165">
        <f t="shared" si="2"/>
        <v>63</v>
      </c>
      <c r="C69" s="616" t="str">
        <f>IFERROR(INDEX(【様式2】職員名簿!$B$41:$B$140,MATCH($B69,【様式2】職員名簿!$O$41:$O$140,0),1),"")</f>
        <v/>
      </c>
      <c r="D69" s="2160" t="s">
        <v>533</v>
      </c>
      <c r="E69" s="2161"/>
      <c r="F69" s="166"/>
      <c r="G69" s="166"/>
      <c r="H69" s="166"/>
      <c r="I69" s="166"/>
      <c r="J69" s="166"/>
      <c r="K69" s="166"/>
      <c r="L69" s="166"/>
      <c r="M69" s="166"/>
      <c r="N69" s="166"/>
      <c r="O69" s="166"/>
      <c r="P69" s="166"/>
      <c r="Q69" s="166"/>
      <c r="R69" s="166"/>
      <c r="S69" s="166"/>
      <c r="T69" s="166"/>
      <c r="U69" s="166"/>
      <c r="V69" s="166"/>
      <c r="W69" s="166"/>
      <c r="X69" s="166"/>
      <c r="Y69" s="166"/>
      <c r="Z69" s="166"/>
      <c r="AA69" s="166"/>
      <c r="AB69" s="166"/>
      <c r="AC69" s="166"/>
      <c r="AD69" s="166"/>
      <c r="AE69" s="166"/>
      <c r="AF69" s="166"/>
      <c r="AG69" s="166"/>
      <c r="AH69" s="166"/>
      <c r="AI69" s="166"/>
      <c r="AJ69" s="166"/>
      <c r="AK69" s="621">
        <f>MIN(SUMIF($F$4:$AJ$4,"&gt;0",F69:AJ69),【様式2】職員名簿!$F$5)</f>
        <v>0</v>
      </c>
    </row>
    <row r="70" spans="2:37" ht="15" customHeight="1">
      <c r="B70" s="165">
        <f t="shared" si="2"/>
        <v>64</v>
      </c>
      <c r="C70" s="616" t="str">
        <f>IFERROR(INDEX(【様式2】職員名簿!$B$41:$B$140,MATCH($B70,【様式2】職員名簿!$O$41:$O$140,0),1),"")</f>
        <v/>
      </c>
      <c r="D70" s="2160" t="s">
        <v>533</v>
      </c>
      <c r="E70" s="2161"/>
      <c r="F70" s="166"/>
      <c r="G70" s="166"/>
      <c r="H70" s="166"/>
      <c r="I70" s="166"/>
      <c r="J70" s="166"/>
      <c r="K70" s="166"/>
      <c r="L70" s="166"/>
      <c r="M70" s="166"/>
      <c r="N70" s="166"/>
      <c r="O70" s="166"/>
      <c r="P70" s="166"/>
      <c r="Q70" s="166"/>
      <c r="R70" s="166"/>
      <c r="S70" s="166"/>
      <c r="T70" s="166"/>
      <c r="U70" s="166"/>
      <c r="V70" s="166"/>
      <c r="W70" s="166"/>
      <c r="X70" s="166"/>
      <c r="Y70" s="166"/>
      <c r="Z70" s="166"/>
      <c r="AA70" s="166"/>
      <c r="AB70" s="166"/>
      <c r="AC70" s="166"/>
      <c r="AD70" s="166"/>
      <c r="AE70" s="166"/>
      <c r="AF70" s="166"/>
      <c r="AG70" s="166"/>
      <c r="AH70" s="166"/>
      <c r="AI70" s="166"/>
      <c r="AJ70" s="166"/>
      <c r="AK70" s="621">
        <f>MIN(SUMIF($F$4:$AJ$4,"&gt;0",F70:AJ70),【様式2】職員名簿!$F$5)</f>
        <v>0</v>
      </c>
    </row>
    <row r="71" spans="2:37" ht="15" customHeight="1">
      <c r="B71" s="165">
        <f t="shared" si="2"/>
        <v>65</v>
      </c>
      <c r="C71" s="616" t="str">
        <f>IFERROR(INDEX(【様式2】職員名簿!$B$41:$B$140,MATCH($B71,【様式2】職員名簿!$O$41:$O$140,0),1),"")</f>
        <v/>
      </c>
      <c r="D71" s="2160" t="s">
        <v>533</v>
      </c>
      <c r="E71" s="2161"/>
      <c r="F71" s="166"/>
      <c r="G71" s="166"/>
      <c r="H71" s="166"/>
      <c r="I71" s="166"/>
      <c r="J71" s="166"/>
      <c r="K71" s="166"/>
      <c r="L71" s="166"/>
      <c r="M71" s="166"/>
      <c r="N71" s="166"/>
      <c r="O71" s="166"/>
      <c r="P71" s="166"/>
      <c r="Q71" s="166"/>
      <c r="R71" s="166"/>
      <c r="S71" s="166"/>
      <c r="T71" s="166"/>
      <c r="U71" s="166"/>
      <c r="V71" s="166"/>
      <c r="W71" s="166"/>
      <c r="X71" s="166"/>
      <c r="Y71" s="166"/>
      <c r="Z71" s="166"/>
      <c r="AA71" s="166"/>
      <c r="AB71" s="166"/>
      <c r="AC71" s="166"/>
      <c r="AD71" s="166"/>
      <c r="AE71" s="166"/>
      <c r="AF71" s="166"/>
      <c r="AG71" s="166"/>
      <c r="AH71" s="166"/>
      <c r="AI71" s="166"/>
      <c r="AJ71" s="166"/>
      <c r="AK71" s="621">
        <f>MIN(SUMIF($F$4:$AJ$4,"&gt;0",F71:AJ71),【様式2】職員名簿!$F$5)</f>
        <v>0</v>
      </c>
    </row>
    <row r="72" spans="2:37" ht="15" customHeight="1">
      <c r="B72" s="165">
        <f t="shared" si="2"/>
        <v>66</v>
      </c>
      <c r="C72" s="616" t="str">
        <f>IFERROR(INDEX(【様式2】職員名簿!$B$41:$B$140,MATCH($B72,【様式2】職員名簿!$O$41:$O$140,0),1),"")</f>
        <v/>
      </c>
      <c r="D72" s="2160" t="s">
        <v>533</v>
      </c>
      <c r="E72" s="2161"/>
      <c r="F72" s="166"/>
      <c r="G72" s="166"/>
      <c r="H72" s="166"/>
      <c r="I72" s="166"/>
      <c r="J72" s="166"/>
      <c r="K72" s="166"/>
      <c r="L72" s="166"/>
      <c r="M72" s="166"/>
      <c r="N72" s="166"/>
      <c r="O72" s="166"/>
      <c r="P72" s="166"/>
      <c r="Q72" s="166"/>
      <c r="R72" s="166"/>
      <c r="S72" s="166"/>
      <c r="T72" s="166"/>
      <c r="U72" s="166"/>
      <c r="V72" s="166"/>
      <c r="W72" s="166"/>
      <c r="X72" s="166"/>
      <c r="Y72" s="166"/>
      <c r="Z72" s="166"/>
      <c r="AA72" s="166"/>
      <c r="AB72" s="166"/>
      <c r="AC72" s="166"/>
      <c r="AD72" s="166"/>
      <c r="AE72" s="166"/>
      <c r="AF72" s="166"/>
      <c r="AG72" s="166"/>
      <c r="AH72" s="166"/>
      <c r="AI72" s="166"/>
      <c r="AJ72" s="166"/>
      <c r="AK72" s="621">
        <f>MIN(SUMIF($F$4:$AJ$4,"&gt;0",F72:AJ72),【様式2】職員名簿!$F$5)</f>
        <v>0</v>
      </c>
    </row>
    <row r="73" spans="2:37" ht="15" customHeight="1">
      <c r="B73" s="165">
        <f t="shared" si="2"/>
        <v>67</v>
      </c>
      <c r="C73" s="616" t="str">
        <f>IFERROR(INDEX(【様式2】職員名簿!$B$41:$B$140,MATCH($B73,【様式2】職員名簿!$O$41:$O$140,0),1),"")</f>
        <v/>
      </c>
      <c r="D73" s="2160" t="s">
        <v>533</v>
      </c>
      <c r="E73" s="2161"/>
      <c r="F73" s="166"/>
      <c r="G73" s="166"/>
      <c r="H73" s="166"/>
      <c r="I73" s="166"/>
      <c r="J73" s="166"/>
      <c r="K73" s="166"/>
      <c r="L73" s="166"/>
      <c r="M73" s="166"/>
      <c r="N73" s="166"/>
      <c r="O73" s="166"/>
      <c r="P73" s="166"/>
      <c r="Q73" s="166"/>
      <c r="R73" s="166"/>
      <c r="S73" s="166"/>
      <c r="T73" s="166"/>
      <c r="U73" s="166"/>
      <c r="V73" s="166"/>
      <c r="W73" s="166"/>
      <c r="X73" s="166"/>
      <c r="Y73" s="166"/>
      <c r="Z73" s="166"/>
      <c r="AA73" s="166"/>
      <c r="AB73" s="166"/>
      <c r="AC73" s="166"/>
      <c r="AD73" s="166"/>
      <c r="AE73" s="166"/>
      <c r="AF73" s="166"/>
      <c r="AG73" s="166"/>
      <c r="AH73" s="166"/>
      <c r="AI73" s="166"/>
      <c r="AJ73" s="166"/>
      <c r="AK73" s="621">
        <f>MIN(SUMIF($F$4:$AJ$4,"&gt;0",F73:AJ73),【様式2】職員名簿!$F$5)</f>
        <v>0</v>
      </c>
    </row>
    <row r="74" spans="2:37" ht="15" customHeight="1">
      <c r="B74" s="165">
        <f t="shared" si="2"/>
        <v>68</v>
      </c>
      <c r="C74" s="616" t="str">
        <f>IFERROR(INDEX(【様式2】職員名簿!$B$41:$B$140,MATCH($B74,【様式2】職員名簿!$O$41:$O$140,0),1),"")</f>
        <v/>
      </c>
      <c r="D74" s="2160" t="s">
        <v>533</v>
      </c>
      <c r="E74" s="2161"/>
      <c r="F74" s="166"/>
      <c r="G74" s="166"/>
      <c r="H74" s="166"/>
      <c r="I74" s="166"/>
      <c r="J74" s="166"/>
      <c r="K74" s="166"/>
      <c r="L74" s="166"/>
      <c r="M74" s="166"/>
      <c r="N74" s="166"/>
      <c r="O74" s="166"/>
      <c r="P74" s="166"/>
      <c r="Q74" s="166"/>
      <c r="R74" s="166"/>
      <c r="S74" s="166"/>
      <c r="T74" s="166"/>
      <c r="U74" s="166"/>
      <c r="V74" s="166"/>
      <c r="W74" s="166"/>
      <c r="X74" s="166"/>
      <c r="Y74" s="166"/>
      <c r="Z74" s="166"/>
      <c r="AA74" s="166"/>
      <c r="AB74" s="166"/>
      <c r="AC74" s="166"/>
      <c r="AD74" s="166"/>
      <c r="AE74" s="166"/>
      <c r="AF74" s="166"/>
      <c r="AG74" s="166"/>
      <c r="AH74" s="166"/>
      <c r="AI74" s="166"/>
      <c r="AJ74" s="166"/>
      <c r="AK74" s="621">
        <f>MIN(SUMIF($F$4:$AJ$4,"&gt;0",F74:AJ74),【様式2】職員名簿!$F$5)</f>
        <v>0</v>
      </c>
    </row>
    <row r="75" spans="2:37" ht="15" customHeight="1">
      <c r="B75" s="165">
        <f t="shared" si="2"/>
        <v>69</v>
      </c>
      <c r="C75" s="616" t="str">
        <f>IFERROR(INDEX(【様式2】職員名簿!$B$41:$B$140,MATCH($B75,【様式2】職員名簿!$O$41:$O$140,0),1),"")</f>
        <v/>
      </c>
      <c r="D75" s="2160" t="s">
        <v>533</v>
      </c>
      <c r="E75" s="2161"/>
      <c r="F75" s="166"/>
      <c r="G75" s="166"/>
      <c r="H75" s="166"/>
      <c r="I75" s="166"/>
      <c r="J75" s="166"/>
      <c r="K75" s="166"/>
      <c r="L75" s="166"/>
      <c r="M75" s="166"/>
      <c r="N75" s="166"/>
      <c r="O75" s="166"/>
      <c r="P75" s="166"/>
      <c r="Q75" s="166"/>
      <c r="R75" s="166"/>
      <c r="S75" s="166"/>
      <c r="T75" s="166"/>
      <c r="U75" s="166"/>
      <c r="V75" s="166"/>
      <c r="W75" s="166"/>
      <c r="X75" s="166"/>
      <c r="Y75" s="166"/>
      <c r="Z75" s="166"/>
      <c r="AA75" s="166"/>
      <c r="AB75" s="166"/>
      <c r="AC75" s="166"/>
      <c r="AD75" s="166"/>
      <c r="AE75" s="166"/>
      <c r="AF75" s="166"/>
      <c r="AG75" s="166"/>
      <c r="AH75" s="166"/>
      <c r="AI75" s="166"/>
      <c r="AJ75" s="166"/>
      <c r="AK75" s="621">
        <f>MIN(SUMIF($F$4:$AJ$4,"&gt;0",F75:AJ75),【様式2】職員名簿!$F$5)</f>
        <v>0</v>
      </c>
    </row>
    <row r="76" spans="2:37" ht="15" customHeight="1">
      <c r="B76" s="165">
        <f t="shared" si="2"/>
        <v>70</v>
      </c>
      <c r="C76" s="616" t="str">
        <f>IFERROR(INDEX(【様式2】職員名簿!$B$41:$B$140,MATCH($B76,【様式2】職員名簿!$O$41:$O$140,0),1),"")</f>
        <v/>
      </c>
      <c r="D76" s="2160" t="s">
        <v>533</v>
      </c>
      <c r="E76" s="2161"/>
      <c r="F76" s="166"/>
      <c r="G76" s="166"/>
      <c r="H76" s="166"/>
      <c r="I76" s="166"/>
      <c r="J76" s="166"/>
      <c r="K76" s="166"/>
      <c r="L76" s="166"/>
      <c r="M76" s="166"/>
      <c r="N76" s="166"/>
      <c r="O76" s="166"/>
      <c r="P76" s="166"/>
      <c r="Q76" s="166"/>
      <c r="R76" s="166"/>
      <c r="S76" s="166"/>
      <c r="T76" s="166"/>
      <c r="U76" s="166"/>
      <c r="V76" s="166"/>
      <c r="W76" s="166"/>
      <c r="X76" s="166"/>
      <c r="Y76" s="166"/>
      <c r="Z76" s="166"/>
      <c r="AA76" s="166"/>
      <c r="AB76" s="166"/>
      <c r="AC76" s="166"/>
      <c r="AD76" s="166"/>
      <c r="AE76" s="166"/>
      <c r="AF76" s="166"/>
      <c r="AG76" s="166"/>
      <c r="AH76" s="166"/>
      <c r="AI76" s="166"/>
      <c r="AJ76" s="166"/>
      <c r="AK76" s="621">
        <f>MIN(SUMIF($F$4:$AJ$4,"&gt;0",F76:AJ76),【様式2】職員名簿!$F$5)</f>
        <v>0</v>
      </c>
    </row>
    <row r="77" spans="2:37" ht="15" customHeight="1">
      <c r="B77" s="165">
        <f t="shared" si="2"/>
        <v>71</v>
      </c>
      <c r="C77" s="616" t="str">
        <f>IFERROR(INDEX(【様式2】職員名簿!$B$41:$B$140,MATCH($B77,【様式2】職員名簿!$O$41:$O$140,0),1),"")</f>
        <v/>
      </c>
      <c r="D77" s="2160" t="s">
        <v>533</v>
      </c>
      <c r="E77" s="2161"/>
      <c r="F77" s="166"/>
      <c r="G77" s="166"/>
      <c r="H77" s="166"/>
      <c r="I77" s="166"/>
      <c r="J77" s="166"/>
      <c r="K77" s="166"/>
      <c r="L77" s="166"/>
      <c r="M77" s="166"/>
      <c r="N77" s="166"/>
      <c r="O77" s="166"/>
      <c r="P77" s="166"/>
      <c r="Q77" s="166"/>
      <c r="R77" s="166"/>
      <c r="S77" s="166"/>
      <c r="T77" s="166"/>
      <c r="U77" s="166"/>
      <c r="V77" s="166"/>
      <c r="W77" s="166"/>
      <c r="X77" s="166"/>
      <c r="Y77" s="166"/>
      <c r="Z77" s="166"/>
      <c r="AA77" s="166"/>
      <c r="AB77" s="166"/>
      <c r="AC77" s="166"/>
      <c r="AD77" s="166"/>
      <c r="AE77" s="166"/>
      <c r="AF77" s="166"/>
      <c r="AG77" s="166"/>
      <c r="AH77" s="166"/>
      <c r="AI77" s="166"/>
      <c r="AJ77" s="166"/>
      <c r="AK77" s="621">
        <f>MIN(SUMIF($F$4:$AJ$4,"&gt;0",F77:AJ77),【様式2】職員名簿!$F$5)</f>
        <v>0</v>
      </c>
    </row>
    <row r="78" spans="2:37" ht="15" customHeight="1">
      <c r="B78" s="165">
        <f t="shared" si="2"/>
        <v>72</v>
      </c>
      <c r="C78" s="616" t="str">
        <f>IFERROR(INDEX(【様式2】職員名簿!$B$41:$B$140,MATCH($B78,【様式2】職員名簿!$O$41:$O$140,0),1),"")</f>
        <v/>
      </c>
      <c r="D78" s="2160" t="s">
        <v>533</v>
      </c>
      <c r="E78" s="2161"/>
      <c r="F78" s="166"/>
      <c r="G78" s="166"/>
      <c r="H78" s="166"/>
      <c r="I78" s="166"/>
      <c r="J78" s="166"/>
      <c r="K78" s="166"/>
      <c r="L78" s="166"/>
      <c r="M78" s="166"/>
      <c r="N78" s="166"/>
      <c r="O78" s="166"/>
      <c r="P78" s="166"/>
      <c r="Q78" s="166"/>
      <c r="R78" s="166"/>
      <c r="S78" s="166"/>
      <c r="T78" s="166"/>
      <c r="U78" s="166"/>
      <c r="V78" s="166"/>
      <c r="W78" s="166"/>
      <c r="X78" s="166"/>
      <c r="Y78" s="166"/>
      <c r="Z78" s="166"/>
      <c r="AA78" s="166"/>
      <c r="AB78" s="166"/>
      <c r="AC78" s="166"/>
      <c r="AD78" s="166"/>
      <c r="AE78" s="166"/>
      <c r="AF78" s="166"/>
      <c r="AG78" s="166"/>
      <c r="AH78" s="166"/>
      <c r="AI78" s="166"/>
      <c r="AJ78" s="166"/>
      <c r="AK78" s="621">
        <f>MIN(SUMIF($F$4:$AJ$4,"&gt;0",F78:AJ78),【様式2】職員名簿!$F$5)</f>
        <v>0</v>
      </c>
    </row>
    <row r="79" spans="2:37" ht="15" customHeight="1">
      <c r="B79" s="165">
        <f t="shared" si="2"/>
        <v>73</v>
      </c>
      <c r="C79" s="616" t="str">
        <f>IFERROR(INDEX(【様式2】職員名簿!$B$41:$B$140,MATCH($B79,【様式2】職員名簿!$O$41:$O$140,0),1),"")</f>
        <v/>
      </c>
      <c r="D79" s="2160" t="s">
        <v>533</v>
      </c>
      <c r="E79" s="2161"/>
      <c r="F79" s="166"/>
      <c r="G79" s="166"/>
      <c r="H79" s="166"/>
      <c r="I79" s="166"/>
      <c r="J79" s="166"/>
      <c r="K79" s="166"/>
      <c r="L79" s="166"/>
      <c r="M79" s="166"/>
      <c r="N79" s="166"/>
      <c r="O79" s="166"/>
      <c r="P79" s="166"/>
      <c r="Q79" s="166"/>
      <c r="R79" s="166"/>
      <c r="S79" s="166"/>
      <c r="T79" s="166"/>
      <c r="U79" s="166"/>
      <c r="V79" s="166"/>
      <c r="W79" s="166"/>
      <c r="X79" s="166"/>
      <c r="Y79" s="166"/>
      <c r="Z79" s="166"/>
      <c r="AA79" s="166"/>
      <c r="AB79" s="166"/>
      <c r="AC79" s="166"/>
      <c r="AD79" s="166"/>
      <c r="AE79" s="166"/>
      <c r="AF79" s="166"/>
      <c r="AG79" s="166"/>
      <c r="AH79" s="166"/>
      <c r="AI79" s="166"/>
      <c r="AJ79" s="166"/>
      <c r="AK79" s="621">
        <f>MIN(SUMIF($F$4:$AJ$4,"&gt;0",F79:AJ79),【様式2】職員名簿!$F$5)</f>
        <v>0</v>
      </c>
    </row>
    <row r="80" spans="2:37" ht="15" customHeight="1">
      <c r="B80" s="165">
        <f t="shared" si="2"/>
        <v>74</v>
      </c>
      <c r="C80" s="616" t="str">
        <f>IFERROR(INDEX(【様式2】職員名簿!$B$41:$B$140,MATCH($B80,【様式2】職員名簿!$O$41:$O$140,0),1),"")</f>
        <v/>
      </c>
      <c r="D80" s="2160" t="s">
        <v>533</v>
      </c>
      <c r="E80" s="2161"/>
      <c r="F80" s="166"/>
      <c r="G80" s="166"/>
      <c r="H80" s="166"/>
      <c r="I80" s="166"/>
      <c r="J80" s="166"/>
      <c r="K80" s="166"/>
      <c r="L80" s="166"/>
      <c r="M80" s="166"/>
      <c r="N80" s="166"/>
      <c r="O80" s="166"/>
      <c r="P80" s="166"/>
      <c r="Q80" s="166"/>
      <c r="R80" s="166"/>
      <c r="S80" s="166"/>
      <c r="T80" s="166"/>
      <c r="U80" s="166"/>
      <c r="V80" s="166"/>
      <c r="W80" s="166"/>
      <c r="X80" s="166"/>
      <c r="Y80" s="166"/>
      <c r="Z80" s="166"/>
      <c r="AA80" s="166"/>
      <c r="AB80" s="166"/>
      <c r="AC80" s="166"/>
      <c r="AD80" s="166"/>
      <c r="AE80" s="166"/>
      <c r="AF80" s="166"/>
      <c r="AG80" s="166"/>
      <c r="AH80" s="166"/>
      <c r="AI80" s="166"/>
      <c r="AJ80" s="166"/>
      <c r="AK80" s="621">
        <f>MIN(SUMIF($F$4:$AJ$4,"&gt;0",F80:AJ80),【様式2】職員名簿!$F$5)</f>
        <v>0</v>
      </c>
    </row>
    <row r="81" spans="2:37" ht="15" customHeight="1">
      <c r="B81" s="165">
        <f t="shared" si="2"/>
        <v>75</v>
      </c>
      <c r="C81" s="616" t="str">
        <f>IFERROR(INDEX(【様式2】職員名簿!$B$41:$B$140,MATCH($B81,【様式2】職員名簿!$O$41:$O$140,0),1),"")</f>
        <v/>
      </c>
      <c r="D81" s="2160" t="s">
        <v>533</v>
      </c>
      <c r="E81" s="2161"/>
      <c r="F81" s="166"/>
      <c r="G81" s="166"/>
      <c r="H81" s="166"/>
      <c r="I81" s="166"/>
      <c r="J81" s="166"/>
      <c r="K81" s="166"/>
      <c r="L81" s="166"/>
      <c r="M81" s="166"/>
      <c r="N81" s="166"/>
      <c r="O81" s="166"/>
      <c r="P81" s="166"/>
      <c r="Q81" s="166"/>
      <c r="R81" s="166"/>
      <c r="S81" s="166"/>
      <c r="T81" s="166"/>
      <c r="U81" s="166"/>
      <c r="V81" s="166"/>
      <c r="W81" s="166"/>
      <c r="X81" s="166"/>
      <c r="Y81" s="166"/>
      <c r="Z81" s="166"/>
      <c r="AA81" s="166"/>
      <c r="AB81" s="166"/>
      <c r="AC81" s="166"/>
      <c r="AD81" s="166"/>
      <c r="AE81" s="166"/>
      <c r="AF81" s="166"/>
      <c r="AG81" s="166"/>
      <c r="AH81" s="166"/>
      <c r="AI81" s="166"/>
      <c r="AJ81" s="166"/>
      <c r="AK81" s="621">
        <f>MIN(SUMIF($F$4:$AJ$4,"&gt;0",F81:AJ81),【様式2】職員名簿!$F$5)</f>
        <v>0</v>
      </c>
    </row>
    <row r="82" spans="2:37" ht="15" customHeight="1">
      <c r="B82" s="165">
        <f t="shared" si="2"/>
        <v>76</v>
      </c>
      <c r="C82" s="616" t="str">
        <f>IFERROR(INDEX(【様式2】職員名簿!$B$41:$B$140,MATCH($B82,【様式2】職員名簿!$O$41:$O$140,0),1),"")</f>
        <v/>
      </c>
      <c r="D82" s="2160" t="s">
        <v>533</v>
      </c>
      <c r="E82" s="2161"/>
      <c r="F82" s="166"/>
      <c r="G82" s="166"/>
      <c r="H82" s="166"/>
      <c r="I82" s="166"/>
      <c r="J82" s="166"/>
      <c r="K82" s="166"/>
      <c r="L82" s="166"/>
      <c r="M82" s="166"/>
      <c r="N82" s="166"/>
      <c r="O82" s="166"/>
      <c r="P82" s="166"/>
      <c r="Q82" s="166"/>
      <c r="R82" s="166"/>
      <c r="S82" s="166"/>
      <c r="T82" s="166"/>
      <c r="U82" s="166"/>
      <c r="V82" s="166"/>
      <c r="W82" s="166"/>
      <c r="X82" s="166"/>
      <c r="Y82" s="166"/>
      <c r="Z82" s="166"/>
      <c r="AA82" s="166"/>
      <c r="AB82" s="166"/>
      <c r="AC82" s="166"/>
      <c r="AD82" s="166"/>
      <c r="AE82" s="166"/>
      <c r="AF82" s="166"/>
      <c r="AG82" s="166"/>
      <c r="AH82" s="166"/>
      <c r="AI82" s="166"/>
      <c r="AJ82" s="166"/>
      <c r="AK82" s="621">
        <f>MIN(SUMIF($F$4:$AJ$4,"&gt;0",F82:AJ82),【様式2】職員名簿!$F$5)</f>
        <v>0</v>
      </c>
    </row>
    <row r="83" spans="2:37" ht="15" customHeight="1">
      <c r="B83" s="165">
        <f t="shared" si="2"/>
        <v>77</v>
      </c>
      <c r="C83" s="616" t="str">
        <f>IFERROR(INDEX(【様式2】職員名簿!$B$41:$B$140,MATCH($B83,【様式2】職員名簿!$O$41:$O$140,0),1),"")</f>
        <v/>
      </c>
      <c r="D83" s="2160" t="s">
        <v>533</v>
      </c>
      <c r="E83" s="2161"/>
      <c r="F83" s="166"/>
      <c r="G83" s="166"/>
      <c r="H83" s="166"/>
      <c r="I83" s="166"/>
      <c r="J83" s="166"/>
      <c r="K83" s="166"/>
      <c r="L83" s="166"/>
      <c r="M83" s="166"/>
      <c r="N83" s="166"/>
      <c r="O83" s="166"/>
      <c r="P83" s="166"/>
      <c r="Q83" s="166"/>
      <c r="R83" s="166"/>
      <c r="S83" s="166"/>
      <c r="T83" s="166"/>
      <c r="U83" s="166"/>
      <c r="V83" s="166"/>
      <c r="W83" s="166"/>
      <c r="X83" s="166"/>
      <c r="Y83" s="166"/>
      <c r="Z83" s="166"/>
      <c r="AA83" s="166"/>
      <c r="AB83" s="166"/>
      <c r="AC83" s="166"/>
      <c r="AD83" s="166"/>
      <c r="AE83" s="166"/>
      <c r="AF83" s="166"/>
      <c r="AG83" s="166"/>
      <c r="AH83" s="166"/>
      <c r="AI83" s="166"/>
      <c r="AJ83" s="166"/>
      <c r="AK83" s="621">
        <f>MIN(SUMIF($F$4:$AJ$4,"&gt;0",F83:AJ83),【様式2】職員名簿!$F$5)</f>
        <v>0</v>
      </c>
    </row>
    <row r="84" spans="2:37" ht="15" customHeight="1">
      <c r="B84" s="165">
        <f t="shared" si="2"/>
        <v>78</v>
      </c>
      <c r="C84" s="616" t="str">
        <f>IFERROR(INDEX(【様式2】職員名簿!$B$41:$B$140,MATCH($B84,【様式2】職員名簿!$O$41:$O$140,0),1),"")</f>
        <v/>
      </c>
      <c r="D84" s="2160" t="s">
        <v>533</v>
      </c>
      <c r="E84" s="2161"/>
      <c r="F84" s="166"/>
      <c r="G84" s="166"/>
      <c r="H84" s="166"/>
      <c r="I84" s="166"/>
      <c r="J84" s="166"/>
      <c r="K84" s="166"/>
      <c r="L84" s="166"/>
      <c r="M84" s="166"/>
      <c r="N84" s="166"/>
      <c r="O84" s="166"/>
      <c r="P84" s="166"/>
      <c r="Q84" s="166"/>
      <c r="R84" s="166"/>
      <c r="S84" s="166"/>
      <c r="T84" s="166"/>
      <c r="U84" s="166"/>
      <c r="V84" s="166"/>
      <c r="W84" s="166"/>
      <c r="X84" s="166"/>
      <c r="Y84" s="166"/>
      <c r="Z84" s="166"/>
      <c r="AA84" s="166"/>
      <c r="AB84" s="166"/>
      <c r="AC84" s="166"/>
      <c r="AD84" s="166"/>
      <c r="AE84" s="166"/>
      <c r="AF84" s="166"/>
      <c r="AG84" s="166"/>
      <c r="AH84" s="166"/>
      <c r="AI84" s="166"/>
      <c r="AJ84" s="166"/>
      <c r="AK84" s="621">
        <f>MIN(SUMIF($F$4:$AJ$4,"&gt;0",F84:AJ84),【様式2】職員名簿!$F$5)</f>
        <v>0</v>
      </c>
    </row>
    <row r="85" spans="2:37" ht="15" customHeight="1">
      <c r="B85" s="165">
        <f t="shared" si="2"/>
        <v>79</v>
      </c>
      <c r="C85" s="616" t="str">
        <f>IFERROR(INDEX(【様式2】職員名簿!$B$41:$B$140,MATCH($B85,【様式2】職員名簿!$O$41:$O$140,0),1),"")</f>
        <v/>
      </c>
      <c r="D85" s="2160" t="s">
        <v>533</v>
      </c>
      <c r="E85" s="2161"/>
      <c r="F85" s="166"/>
      <c r="G85" s="166"/>
      <c r="H85" s="166"/>
      <c r="I85" s="166"/>
      <c r="J85" s="166"/>
      <c r="K85" s="166"/>
      <c r="L85" s="166"/>
      <c r="M85" s="166"/>
      <c r="N85" s="166"/>
      <c r="O85" s="166"/>
      <c r="P85" s="166"/>
      <c r="Q85" s="166"/>
      <c r="R85" s="166"/>
      <c r="S85" s="166"/>
      <c r="T85" s="166"/>
      <c r="U85" s="166"/>
      <c r="V85" s="166"/>
      <c r="W85" s="166"/>
      <c r="X85" s="166"/>
      <c r="Y85" s="166"/>
      <c r="Z85" s="166"/>
      <c r="AA85" s="166"/>
      <c r="AB85" s="166"/>
      <c r="AC85" s="166"/>
      <c r="AD85" s="166"/>
      <c r="AE85" s="166"/>
      <c r="AF85" s="166"/>
      <c r="AG85" s="166"/>
      <c r="AH85" s="166"/>
      <c r="AI85" s="166"/>
      <c r="AJ85" s="166"/>
      <c r="AK85" s="621">
        <f>MIN(SUMIF($F$4:$AJ$4,"&gt;0",F85:AJ85),【様式2】職員名簿!$F$5)</f>
        <v>0</v>
      </c>
    </row>
    <row r="86" spans="2:37" ht="15" customHeight="1">
      <c r="B86" s="165">
        <f t="shared" si="2"/>
        <v>80</v>
      </c>
      <c r="C86" s="616" t="str">
        <f>IFERROR(INDEX(【様式2】職員名簿!$B$41:$B$140,MATCH($B86,【様式2】職員名簿!$O$41:$O$140,0),1),"")</f>
        <v/>
      </c>
      <c r="D86" s="2160" t="s">
        <v>533</v>
      </c>
      <c r="E86" s="2161"/>
      <c r="F86" s="166"/>
      <c r="G86" s="166"/>
      <c r="H86" s="166"/>
      <c r="I86" s="166"/>
      <c r="J86" s="166"/>
      <c r="K86" s="166"/>
      <c r="L86" s="166"/>
      <c r="M86" s="166"/>
      <c r="N86" s="166"/>
      <c r="O86" s="166"/>
      <c r="P86" s="166"/>
      <c r="Q86" s="166"/>
      <c r="R86" s="166"/>
      <c r="S86" s="166"/>
      <c r="T86" s="166"/>
      <c r="U86" s="166"/>
      <c r="V86" s="166"/>
      <c r="W86" s="166"/>
      <c r="X86" s="166"/>
      <c r="Y86" s="166"/>
      <c r="Z86" s="166"/>
      <c r="AA86" s="166"/>
      <c r="AB86" s="166"/>
      <c r="AC86" s="166"/>
      <c r="AD86" s="166"/>
      <c r="AE86" s="166"/>
      <c r="AF86" s="166"/>
      <c r="AG86" s="166"/>
      <c r="AH86" s="166"/>
      <c r="AI86" s="166"/>
      <c r="AJ86" s="166"/>
      <c r="AK86" s="621">
        <f>MIN(SUMIF($F$4:$AJ$4,"&gt;0",F86:AJ86),【様式2】職員名簿!$F$5)</f>
        <v>0</v>
      </c>
    </row>
    <row r="87" spans="2:37" ht="15" customHeight="1">
      <c r="B87" s="165">
        <f t="shared" si="2"/>
        <v>81</v>
      </c>
      <c r="C87" s="616" t="str">
        <f>IFERROR(INDEX(【様式2】職員名簿!$B$41:$B$140,MATCH($B87,【様式2】職員名簿!$O$41:$O$140,0),1),"")</f>
        <v/>
      </c>
      <c r="D87" s="2160" t="s">
        <v>533</v>
      </c>
      <c r="E87" s="2161"/>
      <c r="F87" s="166"/>
      <c r="G87" s="166"/>
      <c r="H87" s="166"/>
      <c r="I87" s="166"/>
      <c r="J87" s="166"/>
      <c r="K87" s="166"/>
      <c r="L87" s="166"/>
      <c r="M87" s="166"/>
      <c r="N87" s="166"/>
      <c r="O87" s="166"/>
      <c r="P87" s="166"/>
      <c r="Q87" s="166"/>
      <c r="R87" s="166"/>
      <c r="S87" s="166"/>
      <c r="T87" s="166"/>
      <c r="U87" s="166"/>
      <c r="V87" s="166"/>
      <c r="W87" s="166"/>
      <c r="X87" s="166"/>
      <c r="Y87" s="166"/>
      <c r="Z87" s="166"/>
      <c r="AA87" s="166"/>
      <c r="AB87" s="166"/>
      <c r="AC87" s="166"/>
      <c r="AD87" s="166"/>
      <c r="AE87" s="166"/>
      <c r="AF87" s="166"/>
      <c r="AG87" s="166"/>
      <c r="AH87" s="166"/>
      <c r="AI87" s="166"/>
      <c r="AJ87" s="166"/>
      <c r="AK87" s="621">
        <f>MIN(SUMIF($F$4:$AJ$4,"&gt;0",F87:AJ87),【様式2】職員名簿!$F$5)</f>
        <v>0</v>
      </c>
    </row>
    <row r="88" spans="2:37" ht="15" customHeight="1">
      <c r="B88" s="165">
        <f t="shared" si="2"/>
        <v>82</v>
      </c>
      <c r="C88" s="616" t="str">
        <f>IFERROR(INDEX(【様式2】職員名簿!$B$41:$B$140,MATCH($B88,【様式2】職員名簿!$O$41:$O$140,0),1),"")</f>
        <v/>
      </c>
      <c r="D88" s="2160" t="s">
        <v>533</v>
      </c>
      <c r="E88" s="2161"/>
      <c r="F88" s="166"/>
      <c r="G88" s="166"/>
      <c r="H88" s="166"/>
      <c r="I88" s="166"/>
      <c r="J88" s="166"/>
      <c r="K88" s="166"/>
      <c r="L88" s="166"/>
      <c r="M88" s="166"/>
      <c r="N88" s="166"/>
      <c r="O88" s="166"/>
      <c r="P88" s="166"/>
      <c r="Q88" s="166"/>
      <c r="R88" s="166"/>
      <c r="S88" s="166"/>
      <c r="T88" s="166"/>
      <c r="U88" s="166"/>
      <c r="V88" s="166"/>
      <c r="W88" s="166"/>
      <c r="X88" s="166"/>
      <c r="Y88" s="166"/>
      <c r="Z88" s="166"/>
      <c r="AA88" s="166"/>
      <c r="AB88" s="166"/>
      <c r="AC88" s="166"/>
      <c r="AD88" s="166"/>
      <c r="AE88" s="166"/>
      <c r="AF88" s="166"/>
      <c r="AG88" s="166"/>
      <c r="AH88" s="166"/>
      <c r="AI88" s="166"/>
      <c r="AJ88" s="166"/>
      <c r="AK88" s="621">
        <f>MIN(SUMIF($F$4:$AJ$4,"&gt;0",F88:AJ88),【様式2】職員名簿!$F$5)</f>
        <v>0</v>
      </c>
    </row>
    <row r="89" spans="2:37" ht="15" customHeight="1">
      <c r="B89" s="165">
        <f t="shared" si="2"/>
        <v>83</v>
      </c>
      <c r="C89" s="616" t="str">
        <f>IFERROR(INDEX(【様式2】職員名簿!$B$41:$B$140,MATCH($B89,【様式2】職員名簿!$O$41:$O$140,0),1),"")</f>
        <v/>
      </c>
      <c r="D89" s="2160" t="s">
        <v>533</v>
      </c>
      <c r="E89" s="2161"/>
      <c r="F89" s="166"/>
      <c r="G89" s="166"/>
      <c r="H89" s="166"/>
      <c r="I89" s="166"/>
      <c r="J89" s="166"/>
      <c r="K89" s="166"/>
      <c r="L89" s="166"/>
      <c r="M89" s="166"/>
      <c r="N89" s="166"/>
      <c r="O89" s="166"/>
      <c r="P89" s="166"/>
      <c r="Q89" s="166"/>
      <c r="R89" s="166"/>
      <c r="S89" s="166"/>
      <c r="T89" s="166"/>
      <c r="U89" s="166"/>
      <c r="V89" s="166"/>
      <c r="W89" s="166"/>
      <c r="X89" s="166"/>
      <c r="Y89" s="166"/>
      <c r="Z89" s="166"/>
      <c r="AA89" s="166"/>
      <c r="AB89" s="166"/>
      <c r="AC89" s="166"/>
      <c r="AD89" s="166"/>
      <c r="AE89" s="166"/>
      <c r="AF89" s="166"/>
      <c r="AG89" s="166"/>
      <c r="AH89" s="166"/>
      <c r="AI89" s="166"/>
      <c r="AJ89" s="166"/>
      <c r="AK89" s="621">
        <f>MIN(SUMIF($F$4:$AJ$4,"&gt;0",F89:AJ89),【様式2】職員名簿!$F$5)</f>
        <v>0</v>
      </c>
    </row>
    <row r="90" spans="2:37" ht="15" customHeight="1">
      <c r="B90" s="165">
        <f t="shared" si="2"/>
        <v>84</v>
      </c>
      <c r="C90" s="616" t="str">
        <f>IFERROR(INDEX(【様式2】職員名簿!$B$41:$B$140,MATCH($B90,【様式2】職員名簿!$O$41:$O$140,0),1),"")</f>
        <v/>
      </c>
      <c r="D90" s="2160" t="s">
        <v>533</v>
      </c>
      <c r="E90" s="2161"/>
      <c r="F90" s="166"/>
      <c r="G90" s="166"/>
      <c r="H90" s="166"/>
      <c r="I90" s="166"/>
      <c r="J90" s="166"/>
      <c r="K90" s="166"/>
      <c r="L90" s="166"/>
      <c r="M90" s="166"/>
      <c r="N90" s="166"/>
      <c r="O90" s="166"/>
      <c r="P90" s="166"/>
      <c r="Q90" s="166"/>
      <c r="R90" s="166"/>
      <c r="S90" s="166"/>
      <c r="T90" s="166"/>
      <c r="U90" s="166"/>
      <c r="V90" s="166"/>
      <c r="W90" s="166"/>
      <c r="X90" s="166"/>
      <c r="Y90" s="166"/>
      <c r="Z90" s="166"/>
      <c r="AA90" s="166"/>
      <c r="AB90" s="166"/>
      <c r="AC90" s="166"/>
      <c r="AD90" s="166"/>
      <c r="AE90" s="166"/>
      <c r="AF90" s="166"/>
      <c r="AG90" s="166"/>
      <c r="AH90" s="166"/>
      <c r="AI90" s="166"/>
      <c r="AJ90" s="166"/>
      <c r="AK90" s="621">
        <f>MIN(SUMIF($F$4:$AJ$4,"&gt;0",F90:AJ90),【様式2】職員名簿!$F$5)</f>
        <v>0</v>
      </c>
    </row>
    <row r="91" spans="2:37" ht="15" customHeight="1">
      <c r="B91" s="165">
        <f t="shared" si="2"/>
        <v>85</v>
      </c>
      <c r="C91" s="616" t="str">
        <f>IFERROR(INDEX(【様式2】職員名簿!$B$41:$B$140,MATCH($B91,【様式2】職員名簿!$O$41:$O$140,0),1),"")</f>
        <v/>
      </c>
      <c r="D91" s="2160" t="s">
        <v>533</v>
      </c>
      <c r="E91" s="2161"/>
      <c r="F91" s="166"/>
      <c r="G91" s="166"/>
      <c r="H91" s="166"/>
      <c r="I91" s="166"/>
      <c r="J91" s="166"/>
      <c r="K91" s="166"/>
      <c r="L91" s="166"/>
      <c r="M91" s="166"/>
      <c r="N91" s="166"/>
      <c r="O91" s="166"/>
      <c r="P91" s="166"/>
      <c r="Q91" s="166"/>
      <c r="R91" s="166"/>
      <c r="S91" s="166"/>
      <c r="T91" s="166"/>
      <c r="U91" s="166"/>
      <c r="V91" s="166"/>
      <c r="W91" s="166"/>
      <c r="X91" s="166"/>
      <c r="Y91" s="166"/>
      <c r="Z91" s="166"/>
      <c r="AA91" s="166"/>
      <c r="AB91" s="166"/>
      <c r="AC91" s="166"/>
      <c r="AD91" s="166"/>
      <c r="AE91" s="166"/>
      <c r="AF91" s="166"/>
      <c r="AG91" s="166"/>
      <c r="AH91" s="166"/>
      <c r="AI91" s="166"/>
      <c r="AJ91" s="166"/>
      <c r="AK91" s="621">
        <f>MIN(SUMIF($F$4:$AJ$4,"&gt;0",F91:AJ91),【様式2】職員名簿!$F$5)</f>
        <v>0</v>
      </c>
    </row>
    <row r="92" spans="2:37" ht="15" customHeight="1">
      <c r="B92" s="165">
        <f t="shared" si="2"/>
        <v>86</v>
      </c>
      <c r="C92" s="616" t="str">
        <f>IFERROR(INDEX(【様式2】職員名簿!$B$41:$B$140,MATCH($B92,【様式2】職員名簿!$O$41:$O$140,0),1),"")</f>
        <v/>
      </c>
      <c r="D92" s="2160" t="s">
        <v>533</v>
      </c>
      <c r="E92" s="2161"/>
      <c r="F92" s="166"/>
      <c r="G92" s="166"/>
      <c r="H92" s="166"/>
      <c r="I92" s="166"/>
      <c r="J92" s="166"/>
      <c r="K92" s="166"/>
      <c r="L92" s="166"/>
      <c r="M92" s="166"/>
      <c r="N92" s="166"/>
      <c r="O92" s="166"/>
      <c r="P92" s="166"/>
      <c r="Q92" s="166"/>
      <c r="R92" s="166"/>
      <c r="S92" s="166"/>
      <c r="T92" s="166"/>
      <c r="U92" s="166"/>
      <c r="V92" s="166"/>
      <c r="W92" s="166"/>
      <c r="X92" s="166"/>
      <c r="Y92" s="166"/>
      <c r="Z92" s="166"/>
      <c r="AA92" s="166"/>
      <c r="AB92" s="166"/>
      <c r="AC92" s="166"/>
      <c r="AD92" s="166"/>
      <c r="AE92" s="166"/>
      <c r="AF92" s="166"/>
      <c r="AG92" s="166"/>
      <c r="AH92" s="166"/>
      <c r="AI92" s="166"/>
      <c r="AJ92" s="166"/>
      <c r="AK92" s="621">
        <f>MIN(SUMIF($F$4:$AJ$4,"&gt;0",F92:AJ92),【様式2】職員名簿!$F$5)</f>
        <v>0</v>
      </c>
    </row>
    <row r="93" spans="2:37" ht="15" customHeight="1">
      <c r="B93" s="165">
        <f t="shared" si="2"/>
        <v>87</v>
      </c>
      <c r="C93" s="616" t="str">
        <f>IFERROR(INDEX(【様式2】職員名簿!$B$41:$B$140,MATCH($B93,【様式2】職員名簿!$O$41:$O$140,0),1),"")</f>
        <v/>
      </c>
      <c r="D93" s="2160" t="s">
        <v>533</v>
      </c>
      <c r="E93" s="2161"/>
      <c r="F93" s="166"/>
      <c r="G93" s="166"/>
      <c r="H93" s="166"/>
      <c r="I93" s="166"/>
      <c r="J93" s="166"/>
      <c r="K93" s="166"/>
      <c r="L93" s="166"/>
      <c r="M93" s="166"/>
      <c r="N93" s="166"/>
      <c r="O93" s="166"/>
      <c r="P93" s="166"/>
      <c r="Q93" s="166"/>
      <c r="R93" s="166"/>
      <c r="S93" s="166"/>
      <c r="T93" s="166"/>
      <c r="U93" s="166"/>
      <c r="V93" s="166"/>
      <c r="W93" s="166"/>
      <c r="X93" s="166"/>
      <c r="Y93" s="166"/>
      <c r="Z93" s="166"/>
      <c r="AA93" s="166"/>
      <c r="AB93" s="166"/>
      <c r="AC93" s="166"/>
      <c r="AD93" s="166"/>
      <c r="AE93" s="166"/>
      <c r="AF93" s="166"/>
      <c r="AG93" s="166"/>
      <c r="AH93" s="166"/>
      <c r="AI93" s="166"/>
      <c r="AJ93" s="166"/>
      <c r="AK93" s="621">
        <f>MIN(SUMIF($F$4:$AJ$4,"&gt;0",F93:AJ93),【様式2】職員名簿!$F$5)</f>
        <v>0</v>
      </c>
    </row>
    <row r="94" spans="2:37" ht="15" customHeight="1">
      <c r="B94" s="165">
        <f t="shared" si="2"/>
        <v>88</v>
      </c>
      <c r="C94" s="616" t="str">
        <f>IFERROR(INDEX(【様式2】職員名簿!$B$41:$B$140,MATCH($B94,【様式2】職員名簿!$O$41:$O$140,0),1),"")</f>
        <v/>
      </c>
      <c r="D94" s="2160" t="s">
        <v>533</v>
      </c>
      <c r="E94" s="2161"/>
      <c r="F94" s="166"/>
      <c r="G94" s="166"/>
      <c r="H94" s="166"/>
      <c r="I94" s="166"/>
      <c r="J94" s="166"/>
      <c r="K94" s="166"/>
      <c r="L94" s="166"/>
      <c r="M94" s="166"/>
      <c r="N94" s="166"/>
      <c r="O94" s="166"/>
      <c r="P94" s="166"/>
      <c r="Q94" s="166"/>
      <c r="R94" s="166"/>
      <c r="S94" s="166"/>
      <c r="T94" s="166"/>
      <c r="U94" s="166"/>
      <c r="V94" s="166"/>
      <c r="W94" s="166"/>
      <c r="X94" s="166"/>
      <c r="Y94" s="166"/>
      <c r="Z94" s="166"/>
      <c r="AA94" s="166"/>
      <c r="AB94" s="166"/>
      <c r="AC94" s="166"/>
      <c r="AD94" s="166"/>
      <c r="AE94" s="166"/>
      <c r="AF94" s="166"/>
      <c r="AG94" s="166"/>
      <c r="AH94" s="166"/>
      <c r="AI94" s="166"/>
      <c r="AJ94" s="166"/>
      <c r="AK94" s="621">
        <f>MIN(SUMIF($F$4:$AJ$4,"&gt;0",F94:AJ94),【様式2】職員名簿!$F$5)</f>
        <v>0</v>
      </c>
    </row>
    <row r="95" spans="2:37" ht="15" customHeight="1">
      <c r="B95" s="165">
        <f t="shared" si="2"/>
        <v>89</v>
      </c>
      <c r="C95" s="616" t="str">
        <f>IFERROR(INDEX(【様式2】職員名簿!$B$41:$B$140,MATCH($B95,【様式2】職員名簿!$O$41:$O$140,0),1),"")</f>
        <v/>
      </c>
      <c r="D95" s="2160" t="s">
        <v>533</v>
      </c>
      <c r="E95" s="2161"/>
      <c r="F95" s="166"/>
      <c r="G95" s="166"/>
      <c r="H95" s="166"/>
      <c r="I95" s="166"/>
      <c r="J95" s="166"/>
      <c r="K95" s="166"/>
      <c r="L95" s="166"/>
      <c r="M95" s="166"/>
      <c r="N95" s="166"/>
      <c r="O95" s="166"/>
      <c r="P95" s="166"/>
      <c r="Q95" s="166"/>
      <c r="R95" s="166"/>
      <c r="S95" s="166"/>
      <c r="T95" s="166"/>
      <c r="U95" s="166"/>
      <c r="V95" s="166"/>
      <c r="W95" s="166"/>
      <c r="X95" s="166"/>
      <c r="Y95" s="166"/>
      <c r="Z95" s="166"/>
      <c r="AA95" s="166"/>
      <c r="AB95" s="166"/>
      <c r="AC95" s="166"/>
      <c r="AD95" s="166"/>
      <c r="AE95" s="166"/>
      <c r="AF95" s="166"/>
      <c r="AG95" s="166"/>
      <c r="AH95" s="166"/>
      <c r="AI95" s="166"/>
      <c r="AJ95" s="166"/>
      <c r="AK95" s="621">
        <f>MIN(SUMIF($F$4:$AJ$4,"&gt;0",F95:AJ95),【様式2】職員名簿!$F$5)</f>
        <v>0</v>
      </c>
    </row>
    <row r="96" spans="2:37" ht="15" customHeight="1">
      <c r="B96" s="165">
        <f t="shared" si="2"/>
        <v>90</v>
      </c>
      <c r="C96" s="616" t="str">
        <f>IFERROR(INDEX(【様式2】職員名簿!$B$41:$B$140,MATCH($B96,【様式2】職員名簿!$O$41:$O$140,0),1),"")</f>
        <v/>
      </c>
      <c r="D96" s="2160" t="s">
        <v>533</v>
      </c>
      <c r="E96" s="2161"/>
      <c r="F96" s="166"/>
      <c r="G96" s="166"/>
      <c r="H96" s="166"/>
      <c r="I96" s="166"/>
      <c r="J96" s="166"/>
      <c r="K96" s="166"/>
      <c r="L96" s="166"/>
      <c r="M96" s="166"/>
      <c r="N96" s="166"/>
      <c r="O96" s="166"/>
      <c r="P96" s="166"/>
      <c r="Q96" s="166"/>
      <c r="R96" s="166"/>
      <c r="S96" s="166"/>
      <c r="T96" s="166"/>
      <c r="U96" s="166"/>
      <c r="V96" s="166"/>
      <c r="W96" s="166"/>
      <c r="X96" s="166"/>
      <c r="Y96" s="166"/>
      <c r="Z96" s="166"/>
      <c r="AA96" s="166"/>
      <c r="AB96" s="166"/>
      <c r="AC96" s="166"/>
      <c r="AD96" s="166"/>
      <c r="AE96" s="166"/>
      <c r="AF96" s="166"/>
      <c r="AG96" s="166"/>
      <c r="AH96" s="166"/>
      <c r="AI96" s="166"/>
      <c r="AJ96" s="166"/>
      <c r="AK96" s="621">
        <f>MIN(SUMIF($F$4:$AJ$4,"&gt;0",F96:AJ96),【様式2】職員名簿!$F$5)</f>
        <v>0</v>
      </c>
    </row>
    <row r="97" spans="2:37" ht="15" customHeight="1">
      <c r="B97" s="165">
        <f t="shared" si="2"/>
        <v>91</v>
      </c>
      <c r="C97" s="616" t="str">
        <f>IFERROR(INDEX(【様式2】職員名簿!$B$41:$B$140,MATCH($B97,【様式2】職員名簿!$O$41:$O$140,0),1),"")</f>
        <v/>
      </c>
      <c r="D97" s="2160" t="s">
        <v>533</v>
      </c>
      <c r="E97" s="2161"/>
      <c r="F97" s="166"/>
      <c r="G97" s="166"/>
      <c r="H97" s="166"/>
      <c r="I97" s="166"/>
      <c r="J97" s="166"/>
      <c r="K97" s="166"/>
      <c r="L97" s="166"/>
      <c r="M97" s="166"/>
      <c r="N97" s="166"/>
      <c r="O97" s="166"/>
      <c r="P97" s="166"/>
      <c r="Q97" s="166"/>
      <c r="R97" s="166"/>
      <c r="S97" s="166"/>
      <c r="T97" s="166"/>
      <c r="U97" s="166"/>
      <c r="V97" s="166"/>
      <c r="W97" s="166"/>
      <c r="X97" s="166"/>
      <c r="Y97" s="166"/>
      <c r="Z97" s="166"/>
      <c r="AA97" s="166"/>
      <c r="AB97" s="166"/>
      <c r="AC97" s="166"/>
      <c r="AD97" s="166"/>
      <c r="AE97" s="166"/>
      <c r="AF97" s="166"/>
      <c r="AG97" s="166"/>
      <c r="AH97" s="166"/>
      <c r="AI97" s="166"/>
      <c r="AJ97" s="166"/>
      <c r="AK97" s="621">
        <f>MIN(SUMIF($F$4:$AJ$4,"&gt;0",F97:AJ97),【様式2】職員名簿!$F$5)</f>
        <v>0</v>
      </c>
    </row>
    <row r="98" spans="2:37" ht="15" customHeight="1">
      <c r="B98" s="165">
        <f t="shared" si="2"/>
        <v>92</v>
      </c>
      <c r="C98" s="616" t="str">
        <f>IFERROR(INDEX(【様式2】職員名簿!$B$41:$B$140,MATCH($B98,【様式2】職員名簿!$O$41:$O$140,0),1),"")</f>
        <v/>
      </c>
      <c r="D98" s="2160" t="s">
        <v>533</v>
      </c>
      <c r="E98" s="2161"/>
      <c r="F98" s="166"/>
      <c r="G98" s="166"/>
      <c r="H98" s="166"/>
      <c r="I98" s="166"/>
      <c r="J98" s="166"/>
      <c r="K98" s="166"/>
      <c r="L98" s="166"/>
      <c r="M98" s="166"/>
      <c r="N98" s="166"/>
      <c r="O98" s="166"/>
      <c r="P98" s="166"/>
      <c r="Q98" s="166"/>
      <c r="R98" s="166"/>
      <c r="S98" s="166"/>
      <c r="T98" s="166"/>
      <c r="U98" s="166"/>
      <c r="V98" s="166"/>
      <c r="W98" s="166"/>
      <c r="X98" s="166"/>
      <c r="Y98" s="166"/>
      <c r="Z98" s="166"/>
      <c r="AA98" s="166"/>
      <c r="AB98" s="166"/>
      <c r="AC98" s="166"/>
      <c r="AD98" s="166"/>
      <c r="AE98" s="166"/>
      <c r="AF98" s="166"/>
      <c r="AG98" s="166"/>
      <c r="AH98" s="166"/>
      <c r="AI98" s="166"/>
      <c r="AJ98" s="166"/>
      <c r="AK98" s="621">
        <f>MIN(SUMIF($F$4:$AJ$4,"&gt;0",F98:AJ98),【様式2】職員名簿!$F$5)</f>
        <v>0</v>
      </c>
    </row>
    <row r="99" spans="2:37" ht="15" customHeight="1">
      <c r="B99" s="165">
        <f t="shared" si="2"/>
        <v>93</v>
      </c>
      <c r="C99" s="616" t="str">
        <f>IFERROR(INDEX(【様式2】職員名簿!$B$41:$B$140,MATCH($B99,【様式2】職員名簿!$O$41:$O$140,0),1),"")</f>
        <v/>
      </c>
      <c r="D99" s="2160" t="s">
        <v>533</v>
      </c>
      <c r="E99" s="2161"/>
      <c r="F99" s="166"/>
      <c r="G99" s="166"/>
      <c r="H99" s="166"/>
      <c r="I99" s="166"/>
      <c r="J99" s="166"/>
      <c r="K99" s="166"/>
      <c r="L99" s="166"/>
      <c r="M99" s="166"/>
      <c r="N99" s="166"/>
      <c r="O99" s="166"/>
      <c r="P99" s="166"/>
      <c r="Q99" s="166"/>
      <c r="R99" s="166"/>
      <c r="S99" s="166"/>
      <c r="T99" s="166"/>
      <c r="U99" s="166"/>
      <c r="V99" s="166"/>
      <c r="W99" s="166"/>
      <c r="X99" s="166"/>
      <c r="Y99" s="166"/>
      <c r="Z99" s="166"/>
      <c r="AA99" s="166"/>
      <c r="AB99" s="166"/>
      <c r="AC99" s="166"/>
      <c r="AD99" s="166"/>
      <c r="AE99" s="166"/>
      <c r="AF99" s="166"/>
      <c r="AG99" s="166"/>
      <c r="AH99" s="166"/>
      <c r="AI99" s="166"/>
      <c r="AJ99" s="166"/>
      <c r="AK99" s="621">
        <f>MIN(SUMIF($F$4:$AJ$4,"&gt;0",F99:AJ99),【様式2】職員名簿!$F$5)</f>
        <v>0</v>
      </c>
    </row>
    <row r="100" spans="2:37" ht="15" customHeight="1">
      <c r="B100" s="165">
        <f t="shared" si="2"/>
        <v>94</v>
      </c>
      <c r="C100" s="616" t="str">
        <f>IFERROR(INDEX(【様式2】職員名簿!$B$41:$B$140,MATCH($B100,【様式2】職員名簿!$O$41:$O$140,0),1),"")</f>
        <v/>
      </c>
      <c r="D100" s="2160" t="s">
        <v>533</v>
      </c>
      <c r="E100" s="2161"/>
      <c r="F100" s="166"/>
      <c r="G100" s="166"/>
      <c r="H100" s="166"/>
      <c r="I100" s="166"/>
      <c r="J100" s="166"/>
      <c r="K100" s="166"/>
      <c r="L100" s="166"/>
      <c r="M100" s="166"/>
      <c r="N100" s="166"/>
      <c r="O100" s="166"/>
      <c r="P100" s="166"/>
      <c r="Q100" s="166"/>
      <c r="R100" s="166"/>
      <c r="S100" s="166"/>
      <c r="T100" s="166"/>
      <c r="U100" s="166"/>
      <c r="V100" s="166"/>
      <c r="W100" s="166"/>
      <c r="X100" s="166"/>
      <c r="Y100" s="166"/>
      <c r="Z100" s="166"/>
      <c r="AA100" s="166"/>
      <c r="AB100" s="166"/>
      <c r="AC100" s="166"/>
      <c r="AD100" s="166"/>
      <c r="AE100" s="166"/>
      <c r="AF100" s="166"/>
      <c r="AG100" s="166"/>
      <c r="AH100" s="166"/>
      <c r="AI100" s="166"/>
      <c r="AJ100" s="166"/>
      <c r="AK100" s="621">
        <f>MIN(SUMIF($F$4:$AJ$4,"&gt;0",F100:AJ100),【様式2】職員名簿!$F$5)</f>
        <v>0</v>
      </c>
    </row>
    <row r="101" spans="2:37" ht="15" customHeight="1">
      <c r="B101" s="165">
        <f t="shared" si="2"/>
        <v>95</v>
      </c>
      <c r="C101" s="616" t="str">
        <f>IFERROR(INDEX(【様式2】職員名簿!$B$41:$B$140,MATCH($B101,【様式2】職員名簿!$O$41:$O$140,0),1),"")</f>
        <v/>
      </c>
      <c r="D101" s="2160" t="s">
        <v>533</v>
      </c>
      <c r="E101" s="2161"/>
      <c r="F101" s="166"/>
      <c r="G101" s="166"/>
      <c r="H101" s="166"/>
      <c r="I101" s="166"/>
      <c r="J101" s="166"/>
      <c r="K101" s="166"/>
      <c r="L101" s="166"/>
      <c r="M101" s="166"/>
      <c r="N101" s="166"/>
      <c r="O101" s="166"/>
      <c r="P101" s="166"/>
      <c r="Q101" s="166"/>
      <c r="R101" s="166"/>
      <c r="S101" s="166"/>
      <c r="T101" s="166"/>
      <c r="U101" s="166"/>
      <c r="V101" s="166"/>
      <c r="W101" s="166"/>
      <c r="X101" s="166"/>
      <c r="Y101" s="166"/>
      <c r="Z101" s="166"/>
      <c r="AA101" s="166"/>
      <c r="AB101" s="166"/>
      <c r="AC101" s="166"/>
      <c r="AD101" s="166"/>
      <c r="AE101" s="166"/>
      <c r="AF101" s="166"/>
      <c r="AG101" s="166"/>
      <c r="AH101" s="166"/>
      <c r="AI101" s="166"/>
      <c r="AJ101" s="166"/>
      <c r="AK101" s="621">
        <f>MIN(SUMIF($F$4:$AJ$4,"&gt;0",F101:AJ101),【様式2】職員名簿!$F$5)</f>
        <v>0</v>
      </c>
    </row>
    <row r="102" spans="2:37" ht="15" customHeight="1">
      <c r="B102" s="165">
        <f t="shared" si="2"/>
        <v>96</v>
      </c>
      <c r="C102" s="616" t="str">
        <f>IFERROR(INDEX(【様式2】職員名簿!$B$41:$B$140,MATCH($B102,【様式2】職員名簿!$O$41:$O$140,0),1),"")</f>
        <v/>
      </c>
      <c r="D102" s="2160" t="s">
        <v>533</v>
      </c>
      <c r="E102" s="2161"/>
      <c r="F102" s="166"/>
      <c r="G102" s="166"/>
      <c r="H102" s="166"/>
      <c r="I102" s="166"/>
      <c r="J102" s="166"/>
      <c r="K102" s="166"/>
      <c r="L102" s="166"/>
      <c r="M102" s="166"/>
      <c r="N102" s="166"/>
      <c r="O102" s="166"/>
      <c r="P102" s="166"/>
      <c r="Q102" s="166"/>
      <c r="R102" s="166"/>
      <c r="S102" s="166"/>
      <c r="T102" s="166"/>
      <c r="U102" s="166"/>
      <c r="V102" s="166"/>
      <c r="W102" s="166"/>
      <c r="X102" s="166"/>
      <c r="Y102" s="166"/>
      <c r="Z102" s="166"/>
      <c r="AA102" s="166"/>
      <c r="AB102" s="166"/>
      <c r="AC102" s="166"/>
      <c r="AD102" s="166"/>
      <c r="AE102" s="166"/>
      <c r="AF102" s="166"/>
      <c r="AG102" s="166"/>
      <c r="AH102" s="166"/>
      <c r="AI102" s="166"/>
      <c r="AJ102" s="166"/>
      <c r="AK102" s="621">
        <f>MIN(SUMIF($F$4:$AJ$4,"&gt;0",F102:AJ102),【様式2】職員名簿!$F$5)</f>
        <v>0</v>
      </c>
    </row>
    <row r="103" spans="2:37" ht="15" customHeight="1">
      <c r="B103" s="165">
        <f t="shared" si="2"/>
        <v>97</v>
      </c>
      <c r="C103" s="616" t="str">
        <f>IFERROR(INDEX(【様式2】職員名簿!$B$41:$B$140,MATCH($B103,【様式2】職員名簿!$O$41:$O$140,0),1),"")</f>
        <v/>
      </c>
      <c r="D103" s="2160" t="s">
        <v>533</v>
      </c>
      <c r="E103" s="2161"/>
      <c r="F103" s="166"/>
      <c r="G103" s="166"/>
      <c r="H103" s="166"/>
      <c r="I103" s="166"/>
      <c r="J103" s="166"/>
      <c r="K103" s="166"/>
      <c r="L103" s="166"/>
      <c r="M103" s="166"/>
      <c r="N103" s="166"/>
      <c r="O103" s="166"/>
      <c r="P103" s="166"/>
      <c r="Q103" s="166"/>
      <c r="R103" s="166"/>
      <c r="S103" s="166"/>
      <c r="T103" s="166"/>
      <c r="U103" s="166"/>
      <c r="V103" s="166"/>
      <c r="W103" s="166"/>
      <c r="X103" s="166"/>
      <c r="Y103" s="166"/>
      <c r="Z103" s="166"/>
      <c r="AA103" s="166"/>
      <c r="AB103" s="166"/>
      <c r="AC103" s="166"/>
      <c r="AD103" s="166"/>
      <c r="AE103" s="166"/>
      <c r="AF103" s="166"/>
      <c r="AG103" s="166"/>
      <c r="AH103" s="166"/>
      <c r="AI103" s="166"/>
      <c r="AJ103" s="166"/>
      <c r="AK103" s="621">
        <f>MIN(SUMIF($F$4:$AJ$4,"&gt;0",F103:AJ103),【様式2】職員名簿!$F$5)</f>
        <v>0</v>
      </c>
    </row>
    <row r="104" spans="2:37" ht="15" customHeight="1">
      <c r="B104" s="165">
        <f t="shared" si="2"/>
        <v>98</v>
      </c>
      <c r="C104" s="616" t="str">
        <f>IFERROR(INDEX(【様式2】職員名簿!$B$41:$B$140,MATCH($B104,【様式2】職員名簿!$O$41:$O$140,0),1),"")</f>
        <v/>
      </c>
      <c r="D104" s="2160" t="s">
        <v>533</v>
      </c>
      <c r="E104" s="2161"/>
      <c r="F104" s="166"/>
      <c r="G104" s="166"/>
      <c r="H104" s="166"/>
      <c r="I104" s="166"/>
      <c r="J104" s="166"/>
      <c r="K104" s="166"/>
      <c r="L104" s="166"/>
      <c r="M104" s="166"/>
      <c r="N104" s="166"/>
      <c r="O104" s="166"/>
      <c r="P104" s="166"/>
      <c r="Q104" s="166"/>
      <c r="R104" s="166"/>
      <c r="S104" s="166"/>
      <c r="T104" s="166"/>
      <c r="U104" s="166"/>
      <c r="V104" s="166"/>
      <c r="W104" s="166"/>
      <c r="X104" s="166"/>
      <c r="Y104" s="166"/>
      <c r="Z104" s="166"/>
      <c r="AA104" s="166"/>
      <c r="AB104" s="166"/>
      <c r="AC104" s="166"/>
      <c r="AD104" s="166"/>
      <c r="AE104" s="166"/>
      <c r="AF104" s="166"/>
      <c r="AG104" s="166"/>
      <c r="AH104" s="166"/>
      <c r="AI104" s="166"/>
      <c r="AJ104" s="166"/>
      <c r="AK104" s="621">
        <f>MIN(SUMIF($F$4:$AJ$4,"&gt;0",F104:AJ104),【様式2】職員名簿!$F$5)</f>
        <v>0</v>
      </c>
    </row>
    <row r="105" spans="2:37" ht="15" customHeight="1">
      <c r="B105" s="165">
        <f t="shared" si="2"/>
        <v>99</v>
      </c>
      <c r="C105" s="616" t="str">
        <f>IFERROR(INDEX(【様式2】職員名簿!$B$41:$B$140,MATCH($B105,【様式2】職員名簿!$O$41:$O$140,0),1),"")</f>
        <v/>
      </c>
      <c r="D105" s="2160" t="s">
        <v>533</v>
      </c>
      <c r="E105" s="2161"/>
      <c r="F105" s="166"/>
      <c r="G105" s="166"/>
      <c r="H105" s="166"/>
      <c r="I105" s="166"/>
      <c r="J105" s="166"/>
      <c r="K105" s="166"/>
      <c r="L105" s="166"/>
      <c r="M105" s="166"/>
      <c r="N105" s="166"/>
      <c r="O105" s="166"/>
      <c r="P105" s="166"/>
      <c r="Q105" s="166"/>
      <c r="R105" s="166"/>
      <c r="S105" s="166"/>
      <c r="T105" s="166"/>
      <c r="U105" s="166"/>
      <c r="V105" s="166"/>
      <c r="W105" s="166"/>
      <c r="X105" s="166"/>
      <c r="Y105" s="166"/>
      <c r="Z105" s="166"/>
      <c r="AA105" s="166"/>
      <c r="AB105" s="166"/>
      <c r="AC105" s="166"/>
      <c r="AD105" s="166"/>
      <c r="AE105" s="166"/>
      <c r="AF105" s="166"/>
      <c r="AG105" s="166"/>
      <c r="AH105" s="166"/>
      <c r="AI105" s="166"/>
      <c r="AJ105" s="166"/>
      <c r="AK105" s="621">
        <f>MIN(SUMIF($F$4:$AJ$4,"&gt;0",F105:AJ105),【様式2】職員名簿!$F$5)</f>
        <v>0</v>
      </c>
    </row>
    <row r="106" spans="2:37" ht="15" customHeight="1" thickBot="1">
      <c r="B106" s="167">
        <f t="shared" si="2"/>
        <v>100</v>
      </c>
      <c r="C106" s="617" t="str">
        <f>IFERROR(INDEX(【様式2】職員名簿!$B$41:$B$140,MATCH($B106,【様式2】職員名簿!$O$41:$O$140,0),1),"")</f>
        <v/>
      </c>
      <c r="D106" s="2156" t="s">
        <v>533</v>
      </c>
      <c r="E106" s="2157"/>
      <c r="F106" s="168"/>
      <c r="G106" s="168"/>
      <c r="H106" s="168"/>
      <c r="I106" s="168"/>
      <c r="J106" s="168"/>
      <c r="K106" s="168"/>
      <c r="L106" s="168"/>
      <c r="M106" s="168"/>
      <c r="N106" s="168"/>
      <c r="O106" s="168"/>
      <c r="P106" s="168"/>
      <c r="Q106" s="168"/>
      <c r="R106" s="168"/>
      <c r="S106" s="168"/>
      <c r="T106" s="168"/>
      <c r="U106" s="168"/>
      <c r="V106" s="168"/>
      <c r="W106" s="168"/>
      <c r="X106" s="168"/>
      <c r="Y106" s="168"/>
      <c r="Z106" s="168"/>
      <c r="AA106" s="168"/>
      <c r="AB106" s="168"/>
      <c r="AC106" s="168"/>
      <c r="AD106" s="168"/>
      <c r="AE106" s="168"/>
      <c r="AF106" s="168"/>
      <c r="AG106" s="168"/>
      <c r="AH106" s="168"/>
      <c r="AI106" s="168"/>
      <c r="AJ106" s="168"/>
      <c r="AK106" s="619">
        <f>MIN(SUMIF($F$4:$AJ$4,"&gt;0",F106:AJ106),【様式2】職員名簿!$F$5)</f>
        <v>0</v>
      </c>
    </row>
    <row r="107" spans="2:37" ht="12.75" thickBot="1">
      <c r="B107" s="2158" t="s">
        <v>15</v>
      </c>
      <c r="C107" s="2159"/>
      <c r="D107" s="2159"/>
      <c r="E107" s="2159"/>
      <c r="F107" s="618">
        <f>SUM(F7:F106)</f>
        <v>0</v>
      </c>
      <c r="G107" s="618">
        <f t="shared" ref="G107:AK107" si="3">SUM(G7:G106)</f>
        <v>0</v>
      </c>
      <c r="H107" s="618">
        <f t="shared" si="3"/>
        <v>0</v>
      </c>
      <c r="I107" s="618">
        <f t="shared" si="3"/>
        <v>0</v>
      </c>
      <c r="J107" s="618">
        <f t="shared" si="3"/>
        <v>0</v>
      </c>
      <c r="K107" s="618">
        <f t="shared" si="3"/>
        <v>0</v>
      </c>
      <c r="L107" s="618">
        <f t="shared" si="3"/>
        <v>0</v>
      </c>
      <c r="M107" s="618">
        <f t="shared" si="3"/>
        <v>0</v>
      </c>
      <c r="N107" s="618">
        <f t="shared" si="3"/>
        <v>0</v>
      </c>
      <c r="O107" s="618">
        <f t="shared" si="3"/>
        <v>0</v>
      </c>
      <c r="P107" s="618">
        <f t="shared" si="3"/>
        <v>0</v>
      </c>
      <c r="Q107" s="618">
        <f t="shared" si="3"/>
        <v>0</v>
      </c>
      <c r="R107" s="618">
        <f t="shared" si="3"/>
        <v>0</v>
      </c>
      <c r="S107" s="618">
        <f t="shared" si="3"/>
        <v>0</v>
      </c>
      <c r="T107" s="618">
        <f t="shared" si="3"/>
        <v>0</v>
      </c>
      <c r="U107" s="618">
        <f t="shared" si="3"/>
        <v>0</v>
      </c>
      <c r="V107" s="618">
        <f t="shared" si="3"/>
        <v>0</v>
      </c>
      <c r="W107" s="618">
        <f t="shared" si="3"/>
        <v>0</v>
      </c>
      <c r="X107" s="618">
        <f t="shared" si="3"/>
        <v>0</v>
      </c>
      <c r="Y107" s="618">
        <f t="shared" si="3"/>
        <v>0</v>
      </c>
      <c r="Z107" s="618">
        <f t="shared" si="3"/>
        <v>0</v>
      </c>
      <c r="AA107" s="618">
        <f t="shared" si="3"/>
        <v>0</v>
      </c>
      <c r="AB107" s="618">
        <f t="shared" si="3"/>
        <v>0</v>
      </c>
      <c r="AC107" s="618">
        <f t="shared" si="3"/>
        <v>0</v>
      </c>
      <c r="AD107" s="618">
        <f t="shared" si="3"/>
        <v>0</v>
      </c>
      <c r="AE107" s="618">
        <f t="shared" si="3"/>
        <v>0</v>
      </c>
      <c r="AF107" s="618">
        <f t="shared" si="3"/>
        <v>0</v>
      </c>
      <c r="AG107" s="618">
        <f t="shared" si="3"/>
        <v>0</v>
      </c>
      <c r="AH107" s="618" t="e">
        <f>IF(AH4="",0,SUM(AH7:AH106))</f>
        <v>#VALUE!</v>
      </c>
      <c r="AI107" s="618" t="e">
        <f>IF(AI4="",0,SUM(AI7:AI106))</f>
        <v>#VALUE!</v>
      </c>
      <c r="AJ107" s="618" t="e">
        <f>IF(AJ4="",0,SUM(AJ7:AJ106))</f>
        <v>#VALUE!</v>
      </c>
      <c r="AK107" s="619">
        <f t="shared" si="3"/>
        <v>0</v>
      </c>
    </row>
  </sheetData>
  <sheetProtection algorithmName="SHA-512" hashValue="AnEMjD/faYysM6k8Be/2px+KDrefzFW1Awq7TTMtAvRW/R2oske4eBdIywMGv5eoOneb7YrVJPc6JjFmpu3blw==" saltValue="aTcRBpWXzsS49GCUQ3mF+w==" spinCount="100000" sheet="1" objects="1" scenarios="1"/>
  <mergeCells count="123">
    <mergeCell ref="B4:B6"/>
    <mergeCell ref="C4:C6"/>
    <mergeCell ref="D4:E4"/>
    <mergeCell ref="B1:E1"/>
    <mergeCell ref="G1:H1"/>
    <mergeCell ref="L1:T1"/>
    <mergeCell ref="AC1:AJ1"/>
    <mergeCell ref="C2:E2"/>
    <mergeCell ref="F2:J2"/>
    <mergeCell ref="AC2:AD2"/>
    <mergeCell ref="AF2:AG3"/>
    <mergeCell ref="AH2:AI3"/>
    <mergeCell ref="AK4:AK6"/>
    <mergeCell ref="D5:E5"/>
    <mergeCell ref="D6:E6"/>
    <mergeCell ref="D7:E7"/>
    <mergeCell ref="D8:E8"/>
    <mergeCell ref="D9:E9"/>
    <mergeCell ref="AJ2:AJ3"/>
    <mergeCell ref="C3:E3"/>
    <mergeCell ref="F3:J3"/>
    <mergeCell ref="AC3:AD3"/>
    <mergeCell ref="K2:Z2"/>
    <mergeCell ref="K3:Z3"/>
    <mergeCell ref="AA2:AB3"/>
    <mergeCell ref="D16:E16"/>
    <mergeCell ref="D17:E17"/>
    <mergeCell ref="D18:E18"/>
    <mergeCell ref="D19:E19"/>
    <mergeCell ref="D20:E20"/>
    <mergeCell ref="D21:E21"/>
    <mergeCell ref="D10:E10"/>
    <mergeCell ref="D11:E11"/>
    <mergeCell ref="D12:E12"/>
    <mergeCell ref="D13:E13"/>
    <mergeCell ref="D14:E14"/>
    <mergeCell ref="D15:E15"/>
    <mergeCell ref="D28:E28"/>
    <mergeCell ref="D29:E29"/>
    <mergeCell ref="D30:E30"/>
    <mergeCell ref="D31:E31"/>
    <mergeCell ref="D32:E32"/>
    <mergeCell ref="D33:E33"/>
    <mergeCell ref="D22:E22"/>
    <mergeCell ref="D23:E23"/>
    <mergeCell ref="D24:E24"/>
    <mergeCell ref="D25:E25"/>
    <mergeCell ref="D26:E26"/>
    <mergeCell ref="D27:E27"/>
    <mergeCell ref="D40:E40"/>
    <mergeCell ref="D41:E41"/>
    <mergeCell ref="D42:E42"/>
    <mergeCell ref="D43:E43"/>
    <mergeCell ref="D44:E44"/>
    <mergeCell ref="D45:E45"/>
    <mergeCell ref="D34:E34"/>
    <mergeCell ref="D35:E35"/>
    <mergeCell ref="D36:E36"/>
    <mergeCell ref="D37:E37"/>
    <mergeCell ref="D38:E38"/>
    <mergeCell ref="D39:E39"/>
    <mergeCell ref="D52:E52"/>
    <mergeCell ref="D53:E53"/>
    <mergeCell ref="D54:E54"/>
    <mergeCell ref="D55:E55"/>
    <mergeCell ref="D56:E56"/>
    <mergeCell ref="D57:E57"/>
    <mergeCell ref="D46:E46"/>
    <mergeCell ref="D47:E47"/>
    <mergeCell ref="D48:E48"/>
    <mergeCell ref="D49:E49"/>
    <mergeCell ref="D50:E50"/>
    <mergeCell ref="D51:E51"/>
    <mergeCell ref="D64:E64"/>
    <mergeCell ref="D65:E65"/>
    <mergeCell ref="D66:E66"/>
    <mergeCell ref="D67:E67"/>
    <mergeCell ref="D68:E68"/>
    <mergeCell ref="D69:E69"/>
    <mergeCell ref="D58:E58"/>
    <mergeCell ref="D59:E59"/>
    <mergeCell ref="D60:E60"/>
    <mergeCell ref="D61:E61"/>
    <mergeCell ref="D62:E62"/>
    <mergeCell ref="D63:E63"/>
    <mergeCell ref="D76:E76"/>
    <mergeCell ref="D77:E77"/>
    <mergeCell ref="D78:E78"/>
    <mergeCell ref="D79:E79"/>
    <mergeCell ref="D80:E80"/>
    <mergeCell ref="D81:E81"/>
    <mergeCell ref="D70:E70"/>
    <mergeCell ref="D71:E71"/>
    <mergeCell ref="D72:E72"/>
    <mergeCell ref="D73:E73"/>
    <mergeCell ref="D74:E74"/>
    <mergeCell ref="D75:E75"/>
    <mergeCell ref="D88:E88"/>
    <mergeCell ref="D89:E89"/>
    <mergeCell ref="D90:E90"/>
    <mergeCell ref="D91:E91"/>
    <mergeCell ref="D92:E92"/>
    <mergeCell ref="D93:E93"/>
    <mergeCell ref="D82:E82"/>
    <mergeCell ref="D83:E83"/>
    <mergeCell ref="D84:E84"/>
    <mergeCell ref="D85:E85"/>
    <mergeCell ref="D86:E86"/>
    <mergeCell ref="D87:E87"/>
    <mergeCell ref="D106:E106"/>
    <mergeCell ref="B107:E107"/>
    <mergeCell ref="D100:E100"/>
    <mergeCell ref="D101:E101"/>
    <mergeCell ref="D102:E102"/>
    <mergeCell ref="D103:E103"/>
    <mergeCell ref="D104:E104"/>
    <mergeCell ref="D105:E105"/>
    <mergeCell ref="D94:E94"/>
    <mergeCell ref="D95:E95"/>
    <mergeCell ref="D96:E96"/>
    <mergeCell ref="D97:E97"/>
    <mergeCell ref="D98:E98"/>
    <mergeCell ref="D99:E99"/>
  </mergeCells>
  <phoneticPr fontId="1"/>
  <conditionalFormatting sqref="F4:AJ6">
    <cfRule type="expression" dxfId="26" priority="12">
      <formula>F$5="○"</formula>
    </cfRule>
  </conditionalFormatting>
  <conditionalFormatting sqref="C7:C54 C95:C106">
    <cfRule type="expression" dxfId="25" priority="10">
      <formula>$C7&lt;&gt;""</formula>
    </cfRule>
  </conditionalFormatting>
  <conditionalFormatting sqref="C77:C86">
    <cfRule type="expression" dxfId="24" priority="9">
      <formula>$C77&lt;&gt;""</formula>
    </cfRule>
  </conditionalFormatting>
  <conditionalFormatting sqref="C76">
    <cfRule type="expression" dxfId="23" priority="8">
      <formula>$C76&lt;&gt;""</formula>
    </cfRule>
  </conditionalFormatting>
  <conditionalFormatting sqref="C66:C75">
    <cfRule type="expression" dxfId="22" priority="7">
      <formula>$C66&lt;&gt;""</formula>
    </cfRule>
  </conditionalFormatting>
  <conditionalFormatting sqref="C65">
    <cfRule type="expression" dxfId="21" priority="6">
      <formula>$C65&lt;&gt;""</formula>
    </cfRule>
  </conditionalFormatting>
  <conditionalFormatting sqref="C55:C64">
    <cfRule type="expression" dxfId="20" priority="5">
      <formula>$C55&lt;&gt;""</formula>
    </cfRule>
  </conditionalFormatting>
  <conditionalFormatting sqref="AH7:AJ106">
    <cfRule type="expression" dxfId="19" priority="4">
      <formula>NOT(AH$4&lt;&gt;"")</formula>
    </cfRule>
  </conditionalFormatting>
  <conditionalFormatting sqref="F7:AJ106">
    <cfRule type="expression" dxfId="18" priority="2">
      <formula>F$5="○"</formula>
    </cfRule>
  </conditionalFormatting>
  <conditionalFormatting sqref="F7:AI106">
    <cfRule type="expression" dxfId="17" priority="3">
      <formula>F$5="●"</formula>
    </cfRule>
  </conditionalFormatting>
  <conditionalFormatting sqref="C87:C94">
    <cfRule type="expression" dxfId="16" priority="1">
      <formula>$C87&lt;&gt;""</formula>
    </cfRule>
  </conditionalFormatting>
  <dataValidations count="4">
    <dataValidation type="decimal" imeMode="halfAlpha" allowBlank="1" showErrorMessage="1" sqref="G7:AJ106" xr:uid="{00000000-0002-0000-0B00-000000000000}">
      <formula1>0</formula1>
      <formula2>24</formula2>
    </dataValidation>
    <dataValidation imeMode="halfAlpha" allowBlank="1" showInputMessage="1" showErrorMessage="1" sqref="AK7:AM7 AK8:AK106" xr:uid="{00000000-0002-0000-0B00-000001000000}"/>
    <dataValidation errorStyle="warning" imeMode="hiragana" allowBlank="1" showInputMessage="1" showErrorMessage="1" sqref="C7:C106" xr:uid="{00000000-0002-0000-0B00-000002000000}"/>
    <dataValidation type="whole" errorStyle="warning" allowBlank="1" showInputMessage="1" showErrorMessage="1" error="1～12の整数を入力してください。" sqref="AO2" xr:uid="{00000000-0002-0000-0B00-000003000000}">
      <formula1>1</formula1>
      <formula2>12</formula2>
    </dataValidation>
  </dataValidations>
  <printOptions horizontalCentered="1"/>
  <pageMargins left="0" right="0" top="0.70866141732283472" bottom="0.59055118110236227" header="0" footer="0"/>
  <pageSetup paperSize="9" scale="60" fitToHeight="2" orientation="landscape" r:id="rId1"/>
  <headerFooter alignWithMargins="0">
    <oddHeader xml:space="preserve">&amp;R
</oddHeader>
  </headerFooter>
  <rowBreaks count="1" manualBreakCount="1">
    <brk id="94" min="1" max="36" man="1"/>
  </rowBreaks>
  <drawing r:id="rId2"/>
  <extLst>
    <ext xmlns:x14="http://schemas.microsoft.com/office/spreadsheetml/2009/9/main" uri="{CCE6A557-97BC-4b89-ADB6-D9C93CAAB3DF}">
      <x14:dataValidations xmlns:xm="http://schemas.microsoft.com/office/excel/2006/main" count="1">
        <x14:dataValidation type="decimal" imeMode="halfAlpha" allowBlank="1" showErrorMessage="1" xr:uid="{F4742826-3285-42D1-AC29-D39D608FB5E8}">
          <x14:formula1>
            <xm:f>0</xm:f>
          </x14:formula1>
          <x14:formula2>
            <xm:f>【様式2】職員名簿!$F$5</xm:f>
          </x14:formula2>
          <xm:sqref>F7:F106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FF0000"/>
    <pageSetUpPr fitToPage="1"/>
  </sheetPr>
  <dimension ref="A1:T34"/>
  <sheetViews>
    <sheetView view="pageBreakPreview" zoomScaleNormal="100" zoomScaleSheetLayoutView="100" workbookViewId="0">
      <selection activeCell="A6" sqref="A6:A7"/>
    </sheetView>
  </sheetViews>
  <sheetFormatPr defaultRowHeight="12" outlineLevelCol="1"/>
  <cols>
    <col min="1" max="1" width="16.625" style="133" customWidth="1"/>
    <col min="2" max="2" width="12.5" style="133" customWidth="1"/>
    <col min="3" max="3" width="9.875" style="133" customWidth="1"/>
    <col min="4" max="5" width="18" style="133" customWidth="1"/>
    <col min="6" max="6" width="11.625" style="133" customWidth="1"/>
    <col min="7" max="7" width="50.625" style="133" customWidth="1"/>
    <col min="8" max="8" width="9" style="133" hidden="1" customWidth="1" outlineLevel="1"/>
    <col min="9" max="9" width="9" style="133" collapsed="1"/>
    <col min="10" max="256" width="9" style="133"/>
    <col min="257" max="257" width="17.25" style="133" customWidth="1"/>
    <col min="258" max="258" width="18.125" style="133" customWidth="1"/>
    <col min="259" max="259" width="12.25" style="133" customWidth="1"/>
    <col min="260" max="260" width="8.5" style="133" customWidth="1"/>
    <col min="261" max="261" width="9.5" style="133" customWidth="1"/>
    <col min="262" max="262" width="15.75" style="133" customWidth="1"/>
    <col min="263" max="263" width="12.5" style="133" customWidth="1"/>
    <col min="264" max="512" width="9" style="133"/>
    <col min="513" max="513" width="17.25" style="133" customWidth="1"/>
    <col min="514" max="514" width="18.125" style="133" customWidth="1"/>
    <col min="515" max="515" width="12.25" style="133" customWidth="1"/>
    <col min="516" max="516" width="8.5" style="133" customWidth="1"/>
    <col min="517" max="517" width="9.5" style="133" customWidth="1"/>
    <col min="518" max="518" width="15.75" style="133" customWidth="1"/>
    <col min="519" max="519" width="12.5" style="133" customWidth="1"/>
    <col min="520" max="768" width="9" style="133"/>
    <col min="769" max="769" width="17.25" style="133" customWidth="1"/>
    <col min="770" max="770" width="18.125" style="133" customWidth="1"/>
    <col min="771" max="771" width="12.25" style="133" customWidth="1"/>
    <col min="772" max="772" width="8.5" style="133" customWidth="1"/>
    <col min="773" max="773" width="9.5" style="133" customWidth="1"/>
    <col min="774" max="774" width="15.75" style="133" customWidth="1"/>
    <col min="775" max="775" width="12.5" style="133" customWidth="1"/>
    <col min="776" max="1024" width="9" style="133"/>
    <col min="1025" max="1025" width="17.25" style="133" customWidth="1"/>
    <col min="1026" max="1026" width="18.125" style="133" customWidth="1"/>
    <col min="1027" max="1027" width="12.25" style="133" customWidth="1"/>
    <col min="1028" max="1028" width="8.5" style="133" customWidth="1"/>
    <col min="1029" max="1029" width="9.5" style="133" customWidth="1"/>
    <col min="1030" max="1030" width="15.75" style="133" customWidth="1"/>
    <col min="1031" max="1031" width="12.5" style="133" customWidth="1"/>
    <col min="1032" max="1280" width="9" style="133"/>
    <col min="1281" max="1281" width="17.25" style="133" customWidth="1"/>
    <col min="1282" max="1282" width="18.125" style="133" customWidth="1"/>
    <col min="1283" max="1283" width="12.25" style="133" customWidth="1"/>
    <col min="1284" max="1284" width="8.5" style="133" customWidth="1"/>
    <col min="1285" max="1285" width="9.5" style="133" customWidth="1"/>
    <col min="1286" max="1286" width="15.75" style="133" customWidth="1"/>
    <col min="1287" max="1287" width="12.5" style="133" customWidth="1"/>
    <col min="1288" max="1536" width="9" style="133"/>
    <col min="1537" max="1537" width="17.25" style="133" customWidth="1"/>
    <col min="1538" max="1538" width="18.125" style="133" customWidth="1"/>
    <col min="1539" max="1539" width="12.25" style="133" customWidth="1"/>
    <col min="1540" max="1540" width="8.5" style="133" customWidth="1"/>
    <col min="1541" max="1541" width="9.5" style="133" customWidth="1"/>
    <col min="1542" max="1542" width="15.75" style="133" customWidth="1"/>
    <col min="1543" max="1543" width="12.5" style="133" customWidth="1"/>
    <col min="1544" max="1792" width="9" style="133"/>
    <col min="1793" max="1793" width="17.25" style="133" customWidth="1"/>
    <col min="1794" max="1794" width="18.125" style="133" customWidth="1"/>
    <col min="1795" max="1795" width="12.25" style="133" customWidth="1"/>
    <col min="1796" max="1796" width="8.5" style="133" customWidth="1"/>
    <col min="1797" max="1797" width="9.5" style="133" customWidth="1"/>
    <col min="1798" max="1798" width="15.75" style="133" customWidth="1"/>
    <col min="1799" max="1799" width="12.5" style="133" customWidth="1"/>
    <col min="1800" max="2048" width="9" style="133"/>
    <col min="2049" max="2049" width="17.25" style="133" customWidth="1"/>
    <col min="2050" max="2050" width="18.125" style="133" customWidth="1"/>
    <col min="2051" max="2051" width="12.25" style="133" customWidth="1"/>
    <col min="2052" max="2052" width="8.5" style="133" customWidth="1"/>
    <col min="2053" max="2053" width="9.5" style="133" customWidth="1"/>
    <col min="2054" max="2054" width="15.75" style="133" customWidth="1"/>
    <col min="2055" max="2055" width="12.5" style="133" customWidth="1"/>
    <col min="2056" max="2304" width="9" style="133"/>
    <col min="2305" max="2305" width="17.25" style="133" customWidth="1"/>
    <col min="2306" max="2306" width="18.125" style="133" customWidth="1"/>
    <col min="2307" max="2307" width="12.25" style="133" customWidth="1"/>
    <col min="2308" max="2308" width="8.5" style="133" customWidth="1"/>
    <col min="2309" max="2309" width="9.5" style="133" customWidth="1"/>
    <col min="2310" max="2310" width="15.75" style="133" customWidth="1"/>
    <col min="2311" max="2311" width="12.5" style="133" customWidth="1"/>
    <col min="2312" max="2560" width="9" style="133"/>
    <col min="2561" max="2561" width="17.25" style="133" customWidth="1"/>
    <col min="2562" max="2562" width="18.125" style="133" customWidth="1"/>
    <col min="2563" max="2563" width="12.25" style="133" customWidth="1"/>
    <col min="2564" max="2564" width="8.5" style="133" customWidth="1"/>
    <col min="2565" max="2565" width="9.5" style="133" customWidth="1"/>
    <col min="2566" max="2566" width="15.75" style="133" customWidth="1"/>
    <col min="2567" max="2567" width="12.5" style="133" customWidth="1"/>
    <col min="2568" max="2816" width="9" style="133"/>
    <col min="2817" max="2817" width="17.25" style="133" customWidth="1"/>
    <col min="2818" max="2818" width="18.125" style="133" customWidth="1"/>
    <col min="2819" max="2819" width="12.25" style="133" customWidth="1"/>
    <col min="2820" max="2820" width="8.5" style="133" customWidth="1"/>
    <col min="2821" max="2821" width="9.5" style="133" customWidth="1"/>
    <col min="2822" max="2822" width="15.75" style="133" customWidth="1"/>
    <col min="2823" max="2823" width="12.5" style="133" customWidth="1"/>
    <col min="2824" max="3072" width="9" style="133"/>
    <col min="3073" max="3073" width="17.25" style="133" customWidth="1"/>
    <col min="3074" max="3074" width="18.125" style="133" customWidth="1"/>
    <col min="3075" max="3075" width="12.25" style="133" customWidth="1"/>
    <col min="3076" max="3076" width="8.5" style="133" customWidth="1"/>
    <col min="3077" max="3077" width="9.5" style="133" customWidth="1"/>
    <col min="3078" max="3078" width="15.75" style="133" customWidth="1"/>
    <col min="3079" max="3079" width="12.5" style="133" customWidth="1"/>
    <col min="3080" max="3328" width="9" style="133"/>
    <col min="3329" max="3329" width="17.25" style="133" customWidth="1"/>
    <col min="3330" max="3330" width="18.125" style="133" customWidth="1"/>
    <col min="3331" max="3331" width="12.25" style="133" customWidth="1"/>
    <col min="3332" max="3332" width="8.5" style="133" customWidth="1"/>
    <col min="3333" max="3333" width="9.5" style="133" customWidth="1"/>
    <col min="3334" max="3334" width="15.75" style="133" customWidth="1"/>
    <col min="3335" max="3335" width="12.5" style="133" customWidth="1"/>
    <col min="3336" max="3584" width="9" style="133"/>
    <col min="3585" max="3585" width="17.25" style="133" customWidth="1"/>
    <col min="3586" max="3586" width="18.125" style="133" customWidth="1"/>
    <col min="3587" max="3587" width="12.25" style="133" customWidth="1"/>
    <col min="3588" max="3588" width="8.5" style="133" customWidth="1"/>
    <col min="3589" max="3589" width="9.5" style="133" customWidth="1"/>
    <col min="3590" max="3590" width="15.75" style="133" customWidth="1"/>
    <col min="3591" max="3591" width="12.5" style="133" customWidth="1"/>
    <col min="3592" max="3840" width="9" style="133"/>
    <col min="3841" max="3841" width="17.25" style="133" customWidth="1"/>
    <col min="3842" max="3842" width="18.125" style="133" customWidth="1"/>
    <col min="3843" max="3843" width="12.25" style="133" customWidth="1"/>
    <col min="3844" max="3844" width="8.5" style="133" customWidth="1"/>
    <col min="3845" max="3845" width="9.5" style="133" customWidth="1"/>
    <col min="3846" max="3846" width="15.75" style="133" customWidth="1"/>
    <col min="3847" max="3847" width="12.5" style="133" customWidth="1"/>
    <col min="3848" max="4096" width="9" style="133"/>
    <col min="4097" max="4097" width="17.25" style="133" customWidth="1"/>
    <col min="4098" max="4098" width="18.125" style="133" customWidth="1"/>
    <col min="4099" max="4099" width="12.25" style="133" customWidth="1"/>
    <col min="4100" max="4100" width="8.5" style="133" customWidth="1"/>
    <col min="4101" max="4101" width="9.5" style="133" customWidth="1"/>
    <col min="4102" max="4102" width="15.75" style="133" customWidth="1"/>
    <col min="4103" max="4103" width="12.5" style="133" customWidth="1"/>
    <col min="4104" max="4352" width="9" style="133"/>
    <col min="4353" max="4353" width="17.25" style="133" customWidth="1"/>
    <col min="4354" max="4354" width="18.125" style="133" customWidth="1"/>
    <col min="4355" max="4355" width="12.25" style="133" customWidth="1"/>
    <col min="4356" max="4356" width="8.5" style="133" customWidth="1"/>
    <col min="4357" max="4357" width="9.5" style="133" customWidth="1"/>
    <col min="4358" max="4358" width="15.75" style="133" customWidth="1"/>
    <col min="4359" max="4359" width="12.5" style="133" customWidth="1"/>
    <col min="4360" max="4608" width="9" style="133"/>
    <col min="4609" max="4609" width="17.25" style="133" customWidth="1"/>
    <col min="4610" max="4610" width="18.125" style="133" customWidth="1"/>
    <col min="4611" max="4611" width="12.25" style="133" customWidth="1"/>
    <col min="4612" max="4612" width="8.5" style="133" customWidth="1"/>
    <col min="4613" max="4613" width="9.5" style="133" customWidth="1"/>
    <col min="4614" max="4614" width="15.75" style="133" customWidth="1"/>
    <col min="4615" max="4615" width="12.5" style="133" customWidth="1"/>
    <col min="4616" max="4864" width="9" style="133"/>
    <col min="4865" max="4865" width="17.25" style="133" customWidth="1"/>
    <col min="4866" max="4866" width="18.125" style="133" customWidth="1"/>
    <col min="4867" max="4867" width="12.25" style="133" customWidth="1"/>
    <col min="4868" max="4868" width="8.5" style="133" customWidth="1"/>
    <col min="4869" max="4869" width="9.5" style="133" customWidth="1"/>
    <col min="4870" max="4870" width="15.75" style="133" customWidth="1"/>
    <col min="4871" max="4871" width="12.5" style="133" customWidth="1"/>
    <col min="4872" max="5120" width="9" style="133"/>
    <col min="5121" max="5121" width="17.25" style="133" customWidth="1"/>
    <col min="5122" max="5122" width="18.125" style="133" customWidth="1"/>
    <col min="5123" max="5123" width="12.25" style="133" customWidth="1"/>
    <col min="5124" max="5124" width="8.5" style="133" customWidth="1"/>
    <col min="5125" max="5125" width="9.5" style="133" customWidth="1"/>
    <col min="5126" max="5126" width="15.75" style="133" customWidth="1"/>
    <col min="5127" max="5127" width="12.5" style="133" customWidth="1"/>
    <col min="5128" max="5376" width="9" style="133"/>
    <col min="5377" max="5377" width="17.25" style="133" customWidth="1"/>
    <col min="5378" max="5378" width="18.125" style="133" customWidth="1"/>
    <col min="5379" max="5379" width="12.25" style="133" customWidth="1"/>
    <col min="5380" max="5380" width="8.5" style="133" customWidth="1"/>
    <col min="5381" max="5381" width="9.5" style="133" customWidth="1"/>
    <col min="5382" max="5382" width="15.75" style="133" customWidth="1"/>
    <col min="5383" max="5383" width="12.5" style="133" customWidth="1"/>
    <col min="5384" max="5632" width="9" style="133"/>
    <col min="5633" max="5633" width="17.25" style="133" customWidth="1"/>
    <col min="5634" max="5634" width="18.125" style="133" customWidth="1"/>
    <col min="5635" max="5635" width="12.25" style="133" customWidth="1"/>
    <col min="5636" max="5636" width="8.5" style="133" customWidth="1"/>
    <col min="5637" max="5637" width="9.5" style="133" customWidth="1"/>
    <col min="5638" max="5638" width="15.75" style="133" customWidth="1"/>
    <col min="5639" max="5639" width="12.5" style="133" customWidth="1"/>
    <col min="5640" max="5888" width="9" style="133"/>
    <col min="5889" max="5889" width="17.25" style="133" customWidth="1"/>
    <col min="5890" max="5890" width="18.125" style="133" customWidth="1"/>
    <col min="5891" max="5891" width="12.25" style="133" customWidth="1"/>
    <col min="5892" max="5892" width="8.5" style="133" customWidth="1"/>
    <col min="5893" max="5893" width="9.5" style="133" customWidth="1"/>
    <col min="5894" max="5894" width="15.75" style="133" customWidth="1"/>
    <col min="5895" max="5895" width="12.5" style="133" customWidth="1"/>
    <col min="5896" max="6144" width="9" style="133"/>
    <col min="6145" max="6145" width="17.25" style="133" customWidth="1"/>
    <col min="6146" max="6146" width="18.125" style="133" customWidth="1"/>
    <col min="6147" max="6147" width="12.25" style="133" customWidth="1"/>
    <col min="6148" max="6148" width="8.5" style="133" customWidth="1"/>
    <col min="6149" max="6149" width="9.5" style="133" customWidth="1"/>
    <col min="6150" max="6150" width="15.75" style="133" customWidth="1"/>
    <col min="6151" max="6151" width="12.5" style="133" customWidth="1"/>
    <col min="6152" max="6400" width="9" style="133"/>
    <col min="6401" max="6401" width="17.25" style="133" customWidth="1"/>
    <col min="6402" max="6402" width="18.125" style="133" customWidth="1"/>
    <col min="6403" max="6403" width="12.25" style="133" customWidth="1"/>
    <col min="6404" max="6404" width="8.5" style="133" customWidth="1"/>
    <col min="6405" max="6405" width="9.5" style="133" customWidth="1"/>
    <col min="6406" max="6406" width="15.75" style="133" customWidth="1"/>
    <col min="6407" max="6407" width="12.5" style="133" customWidth="1"/>
    <col min="6408" max="6656" width="9" style="133"/>
    <col min="6657" max="6657" width="17.25" style="133" customWidth="1"/>
    <col min="6658" max="6658" width="18.125" style="133" customWidth="1"/>
    <col min="6659" max="6659" width="12.25" style="133" customWidth="1"/>
    <col min="6660" max="6660" width="8.5" style="133" customWidth="1"/>
    <col min="6661" max="6661" width="9.5" style="133" customWidth="1"/>
    <col min="6662" max="6662" width="15.75" style="133" customWidth="1"/>
    <col min="6663" max="6663" width="12.5" style="133" customWidth="1"/>
    <col min="6664" max="6912" width="9" style="133"/>
    <col min="6913" max="6913" width="17.25" style="133" customWidth="1"/>
    <col min="6914" max="6914" width="18.125" style="133" customWidth="1"/>
    <col min="6915" max="6915" width="12.25" style="133" customWidth="1"/>
    <col min="6916" max="6916" width="8.5" style="133" customWidth="1"/>
    <col min="6917" max="6917" width="9.5" style="133" customWidth="1"/>
    <col min="6918" max="6918" width="15.75" style="133" customWidth="1"/>
    <col min="6919" max="6919" width="12.5" style="133" customWidth="1"/>
    <col min="6920" max="7168" width="9" style="133"/>
    <col min="7169" max="7169" width="17.25" style="133" customWidth="1"/>
    <col min="7170" max="7170" width="18.125" style="133" customWidth="1"/>
    <col min="7171" max="7171" width="12.25" style="133" customWidth="1"/>
    <col min="7172" max="7172" width="8.5" style="133" customWidth="1"/>
    <col min="7173" max="7173" width="9.5" style="133" customWidth="1"/>
    <col min="7174" max="7174" width="15.75" style="133" customWidth="1"/>
    <col min="7175" max="7175" width="12.5" style="133" customWidth="1"/>
    <col min="7176" max="7424" width="9" style="133"/>
    <col min="7425" max="7425" width="17.25" style="133" customWidth="1"/>
    <col min="7426" max="7426" width="18.125" style="133" customWidth="1"/>
    <col min="7427" max="7427" width="12.25" style="133" customWidth="1"/>
    <col min="7428" max="7428" width="8.5" style="133" customWidth="1"/>
    <col min="7429" max="7429" width="9.5" style="133" customWidth="1"/>
    <col min="7430" max="7430" width="15.75" style="133" customWidth="1"/>
    <col min="7431" max="7431" width="12.5" style="133" customWidth="1"/>
    <col min="7432" max="7680" width="9" style="133"/>
    <col min="7681" max="7681" width="17.25" style="133" customWidth="1"/>
    <col min="7682" max="7682" width="18.125" style="133" customWidth="1"/>
    <col min="7683" max="7683" width="12.25" style="133" customWidth="1"/>
    <col min="7684" max="7684" width="8.5" style="133" customWidth="1"/>
    <col min="7685" max="7685" width="9.5" style="133" customWidth="1"/>
    <col min="7686" max="7686" width="15.75" style="133" customWidth="1"/>
    <col min="7687" max="7687" width="12.5" style="133" customWidth="1"/>
    <col min="7688" max="7936" width="9" style="133"/>
    <col min="7937" max="7937" width="17.25" style="133" customWidth="1"/>
    <col min="7938" max="7938" width="18.125" style="133" customWidth="1"/>
    <col min="7939" max="7939" width="12.25" style="133" customWidth="1"/>
    <col min="7940" max="7940" width="8.5" style="133" customWidth="1"/>
    <col min="7941" max="7941" width="9.5" style="133" customWidth="1"/>
    <col min="7942" max="7942" width="15.75" style="133" customWidth="1"/>
    <col min="7943" max="7943" width="12.5" style="133" customWidth="1"/>
    <col min="7944" max="8192" width="9" style="133"/>
    <col min="8193" max="8193" width="17.25" style="133" customWidth="1"/>
    <col min="8194" max="8194" width="18.125" style="133" customWidth="1"/>
    <col min="8195" max="8195" width="12.25" style="133" customWidth="1"/>
    <col min="8196" max="8196" width="8.5" style="133" customWidth="1"/>
    <col min="8197" max="8197" width="9.5" style="133" customWidth="1"/>
    <col min="8198" max="8198" width="15.75" style="133" customWidth="1"/>
    <col min="8199" max="8199" width="12.5" style="133" customWidth="1"/>
    <col min="8200" max="8448" width="9" style="133"/>
    <col min="8449" max="8449" width="17.25" style="133" customWidth="1"/>
    <col min="8450" max="8450" width="18.125" style="133" customWidth="1"/>
    <col min="8451" max="8451" width="12.25" style="133" customWidth="1"/>
    <col min="8452" max="8452" width="8.5" style="133" customWidth="1"/>
    <col min="8453" max="8453" width="9.5" style="133" customWidth="1"/>
    <col min="8454" max="8454" width="15.75" style="133" customWidth="1"/>
    <col min="8455" max="8455" width="12.5" style="133" customWidth="1"/>
    <col min="8456" max="8704" width="9" style="133"/>
    <col min="8705" max="8705" width="17.25" style="133" customWidth="1"/>
    <col min="8706" max="8706" width="18.125" style="133" customWidth="1"/>
    <col min="8707" max="8707" width="12.25" style="133" customWidth="1"/>
    <col min="8708" max="8708" width="8.5" style="133" customWidth="1"/>
    <col min="8709" max="8709" width="9.5" style="133" customWidth="1"/>
    <col min="8710" max="8710" width="15.75" style="133" customWidth="1"/>
    <col min="8711" max="8711" width="12.5" style="133" customWidth="1"/>
    <col min="8712" max="8960" width="9" style="133"/>
    <col min="8961" max="8961" width="17.25" style="133" customWidth="1"/>
    <col min="8962" max="8962" width="18.125" style="133" customWidth="1"/>
    <col min="8963" max="8963" width="12.25" style="133" customWidth="1"/>
    <col min="8964" max="8964" width="8.5" style="133" customWidth="1"/>
    <col min="8965" max="8965" width="9.5" style="133" customWidth="1"/>
    <col min="8966" max="8966" width="15.75" style="133" customWidth="1"/>
    <col min="8967" max="8967" width="12.5" style="133" customWidth="1"/>
    <col min="8968" max="9216" width="9" style="133"/>
    <col min="9217" max="9217" width="17.25" style="133" customWidth="1"/>
    <col min="9218" max="9218" width="18.125" style="133" customWidth="1"/>
    <col min="9219" max="9219" width="12.25" style="133" customWidth="1"/>
    <col min="9220" max="9220" width="8.5" style="133" customWidth="1"/>
    <col min="9221" max="9221" width="9.5" style="133" customWidth="1"/>
    <col min="9222" max="9222" width="15.75" style="133" customWidth="1"/>
    <col min="9223" max="9223" width="12.5" style="133" customWidth="1"/>
    <col min="9224" max="9472" width="9" style="133"/>
    <col min="9473" max="9473" width="17.25" style="133" customWidth="1"/>
    <col min="9474" max="9474" width="18.125" style="133" customWidth="1"/>
    <col min="9475" max="9475" width="12.25" style="133" customWidth="1"/>
    <col min="9476" max="9476" width="8.5" style="133" customWidth="1"/>
    <col min="9477" max="9477" width="9.5" style="133" customWidth="1"/>
    <col min="9478" max="9478" width="15.75" style="133" customWidth="1"/>
    <col min="9479" max="9479" width="12.5" style="133" customWidth="1"/>
    <col min="9480" max="9728" width="9" style="133"/>
    <col min="9729" max="9729" width="17.25" style="133" customWidth="1"/>
    <col min="9730" max="9730" width="18.125" style="133" customWidth="1"/>
    <col min="9731" max="9731" width="12.25" style="133" customWidth="1"/>
    <col min="9732" max="9732" width="8.5" style="133" customWidth="1"/>
    <col min="9733" max="9733" width="9.5" style="133" customWidth="1"/>
    <col min="9734" max="9734" width="15.75" style="133" customWidth="1"/>
    <col min="9735" max="9735" width="12.5" style="133" customWidth="1"/>
    <col min="9736" max="9984" width="9" style="133"/>
    <col min="9985" max="9985" width="17.25" style="133" customWidth="1"/>
    <col min="9986" max="9986" width="18.125" style="133" customWidth="1"/>
    <col min="9987" max="9987" width="12.25" style="133" customWidth="1"/>
    <col min="9988" max="9988" width="8.5" style="133" customWidth="1"/>
    <col min="9989" max="9989" width="9.5" style="133" customWidth="1"/>
    <col min="9990" max="9990" width="15.75" style="133" customWidth="1"/>
    <col min="9991" max="9991" width="12.5" style="133" customWidth="1"/>
    <col min="9992" max="10240" width="9" style="133"/>
    <col min="10241" max="10241" width="17.25" style="133" customWidth="1"/>
    <col min="10242" max="10242" width="18.125" style="133" customWidth="1"/>
    <col min="10243" max="10243" width="12.25" style="133" customWidth="1"/>
    <col min="10244" max="10244" width="8.5" style="133" customWidth="1"/>
    <col min="10245" max="10245" width="9.5" style="133" customWidth="1"/>
    <col min="10246" max="10246" width="15.75" style="133" customWidth="1"/>
    <col min="10247" max="10247" width="12.5" style="133" customWidth="1"/>
    <col min="10248" max="10496" width="9" style="133"/>
    <col min="10497" max="10497" width="17.25" style="133" customWidth="1"/>
    <col min="10498" max="10498" width="18.125" style="133" customWidth="1"/>
    <col min="10499" max="10499" width="12.25" style="133" customWidth="1"/>
    <col min="10500" max="10500" width="8.5" style="133" customWidth="1"/>
    <col min="10501" max="10501" width="9.5" style="133" customWidth="1"/>
    <col min="10502" max="10502" width="15.75" style="133" customWidth="1"/>
    <col min="10503" max="10503" width="12.5" style="133" customWidth="1"/>
    <col min="10504" max="10752" width="9" style="133"/>
    <col min="10753" max="10753" width="17.25" style="133" customWidth="1"/>
    <col min="10754" max="10754" width="18.125" style="133" customWidth="1"/>
    <col min="10755" max="10755" width="12.25" style="133" customWidth="1"/>
    <col min="10756" max="10756" width="8.5" style="133" customWidth="1"/>
    <col min="10757" max="10757" width="9.5" style="133" customWidth="1"/>
    <col min="10758" max="10758" width="15.75" style="133" customWidth="1"/>
    <col min="10759" max="10759" width="12.5" style="133" customWidth="1"/>
    <col min="10760" max="11008" width="9" style="133"/>
    <col min="11009" max="11009" width="17.25" style="133" customWidth="1"/>
    <col min="11010" max="11010" width="18.125" style="133" customWidth="1"/>
    <col min="11011" max="11011" width="12.25" style="133" customWidth="1"/>
    <col min="11012" max="11012" width="8.5" style="133" customWidth="1"/>
    <col min="11013" max="11013" width="9.5" style="133" customWidth="1"/>
    <col min="11014" max="11014" width="15.75" style="133" customWidth="1"/>
    <col min="11015" max="11015" width="12.5" style="133" customWidth="1"/>
    <col min="11016" max="11264" width="9" style="133"/>
    <col min="11265" max="11265" width="17.25" style="133" customWidth="1"/>
    <col min="11266" max="11266" width="18.125" style="133" customWidth="1"/>
    <col min="11267" max="11267" width="12.25" style="133" customWidth="1"/>
    <col min="11268" max="11268" width="8.5" style="133" customWidth="1"/>
    <col min="11269" max="11269" width="9.5" style="133" customWidth="1"/>
    <col min="11270" max="11270" width="15.75" style="133" customWidth="1"/>
    <col min="11271" max="11271" width="12.5" style="133" customWidth="1"/>
    <col min="11272" max="11520" width="9" style="133"/>
    <col min="11521" max="11521" width="17.25" style="133" customWidth="1"/>
    <col min="11522" max="11522" width="18.125" style="133" customWidth="1"/>
    <col min="11523" max="11523" width="12.25" style="133" customWidth="1"/>
    <col min="11524" max="11524" width="8.5" style="133" customWidth="1"/>
    <col min="11525" max="11525" width="9.5" style="133" customWidth="1"/>
    <col min="11526" max="11526" width="15.75" style="133" customWidth="1"/>
    <col min="11527" max="11527" width="12.5" style="133" customWidth="1"/>
    <col min="11528" max="11776" width="9" style="133"/>
    <col min="11777" max="11777" width="17.25" style="133" customWidth="1"/>
    <col min="11778" max="11778" width="18.125" style="133" customWidth="1"/>
    <col min="11779" max="11779" width="12.25" style="133" customWidth="1"/>
    <col min="11780" max="11780" width="8.5" style="133" customWidth="1"/>
    <col min="11781" max="11781" width="9.5" style="133" customWidth="1"/>
    <col min="11782" max="11782" width="15.75" style="133" customWidth="1"/>
    <col min="11783" max="11783" width="12.5" style="133" customWidth="1"/>
    <col min="11784" max="12032" width="9" style="133"/>
    <col min="12033" max="12033" width="17.25" style="133" customWidth="1"/>
    <col min="12034" max="12034" width="18.125" style="133" customWidth="1"/>
    <col min="12035" max="12035" width="12.25" style="133" customWidth="1"/>
    <col min="12036" max="12036" width="8.5" style="133" customWidth="1"/>
    <col min="12037" max="12037" width="9.5" style="133" customWidth="1"/>
    <col min="12038" max="12038" width="15.75" style="133" customWidth="1"/>
    <col min="12039" max="12039" width="12.5" style="133" customWidth="1"/>
    <col min="12040" max="12288" width="9" style="133"/>
    <col min="12289" max="12289" width="17.25" style="133" customWidth="1"/>
    <col min="12290" max="12290" width="18.125" style="133" customWidth="1"/>
    <col min="12291" max="12291" width="12.25" style="133" customWidth="1"/>
    <col min="12292" max="12292" width="8.5" style="133" customWidth="1"/>
    <col min="12293" max="12293" width="9.5" style="133" customWidth="1"/>
    <col min="12294" max="12294" width="15.75" style="133" customWidth="1"/>
    <col min="12295" max="12295" width="12.5" style="133" customWidth="1"/>
    <col min="12296" max="12544" width="9" style="133"/>
    <col min="12545" max="12545" width="17.25" style="133" customWidth="1"/>
    <col min="12546" max="12546" width="18.125" style="133" customWidth="1"/>
    <col min="12547" max="12547" width="12.25" style="133" customWidth="1"/>
    <col min="12548" max="12548" width="8.5" style="133" customWidth="1"/>
    <col min="12549" max="12549" width="9.5" style="133" customWidth="1"/>
    <col min="12550" max="12550" width="15.75" style="133" customWidth="1"/>
    <col min="12551" max="12551" width="12.5" style="133" customWidth="1"/>
    <col min="12552" max="12800" width="9" style="133"/>
    <col min="12801" max="12801" width="17.25" style="133" customWidth="1"/>
    <col min="12802" max="12802" width="18.125" style="133" customWidth="1"/>
    <col min="12803" max="12803" width="12.25" style="133" customWidth="1"/>
    <col min="12804" max="12804" width="8.5" style="133" customWidth="1"/>
    <col min="12805" max="12805" width="9.5" style="133" customWidth="1"/>
    <col min="12806" max="12806" width="15.75" style="133" customWidth="1"/>
    <col min="12807" max="12807" width="12.5" style="133" customWidth="1"/>
    <col min="12808" max="13056" width="9" style="133"/>
    <col min="13057" max="13057" width="17.25" style="133" customWidth="1"/>
    <col min="13058" max="13058" width="18.125" style="133" customWidth="1"/>
    <col min="13059" max="13059" width="12.25" style="133" customWidth="1"/>
    <col min="13060" max="13060" width="8.5" style="133" customWidth="1"/>
    <col min="13061" max="13061" width="9.5" style="133" customWidth="1"/>
    <col min="13062" max="13062" width="15.75" style="133" customWidth="1"/>
    <col min="13063" max="13063" width="12.5" style="133" customWidth="1"/>
    <col min="13064" max="13312" width="9" style="133"/>
    <col min="13313" max="13313" width="17.25" style="133" customWidth="1"/>
    <col min="13314" max="13314" width="18.125" style="133" customWidth="1"/>
    <col min="13315" max="13315" width="12.25" style="133" customWidth="1"/>
    <col min="13316" max="13316" width="8.5" style="133" customWidth="1"/>
    <col min="13317" max="13317" width="9.5" style="133" customWidth="1"/>
    <col min="13318" max="13318" width="15.75" style="133" customWidth="1"/>
    <col min="13319" max="13319" width="12.5" style="133" customWidth="1"/>
    <col min="13320" max="13568" width="9" style="133"/>
    <col min="13569" max="13569" width="17.25" style="133" customWidth="1"/>
    <col min="13570" max="13570" width="18.125" style="133" customWidth="1"/>
    <col min="13571" max="13571" width="12.25" style="133" customWidth="1"/>
    <col min="13572" max="13572" width="8.5" style="133" customWidth="1"/>
    <col min="13573" max="13573" width="9.5" style="133" customWidth="1"/>
    <col min="13574" max="13574" width="15.75" style="133" customWidth="1"/>
    <col min="13575" max="13575" width="12.5" style="133" customWidth="1"/>
    <col min="13576" max="13824" width="9" style="133"/>
    <col min="13825" max="13825" width="17.25" style="133" customWidth="1"/>
    <col min="13826" max="13826" width="18.125" style="133" customWidth="1"/>
    <col min="13827" max="13827" width="12.25" style="133" customWidth="1"/>
    <col min="13828" max="13828" width="8.5" style="133" customWidth="1"/>
    <col min="13829" max="13829" width="9.5" style="133" customWidth="1"/>
    <col min="13830" max="13830" width="15.75" style="133" customWidth="1"/>
    <col min="13831" max="13831" width="12.5" style="133" customWidth="1"/>
    <col min="13832" max="14080" width="9" style="133"/>
    <col min="14081" max="14081" width="17.25" style="133" customWidth="1"/>
    <col min="14082" max="14082" width="18.125" style="133" customWidth="1"/>
    <col min="14083" max="14083" width="12.25" style="133" customWidth="1"/>
    <col min="14084" max="14084" width="8.5" style="133" customWidth="1"/>
    <col min="14085" max="14085" width="9.5" style="133" customWidth="1"/>
    <col min="14086" max="14086" width="15.75" style="133" customWidth="1"/>
    <col min="14087" max="14087" width="12.5" style="133" customWidth="1"/>
    <col min="14088" max="14336" width="9" style="133"/>
    <col min="14337" max="14337" width="17.25" style="133" customWidth="1"/>
    <col min="14338" max="14338" width="18.125" style="133" customWidth="1"/>
    <col min="14339" max="14339" width="12.25" style="133" customWidth="1"/>
    <col min="14340" max="14340" width="8.5" style="133" customWidth="1"/>
    <col min="14341" max="14341" width="9.5" style="133" customWidth="1"/>
    <col min="14342" max="14342" width="15.75" style="133" customWidth="1"/>
    <col min="14343" max="14343" width="12.5" style="133" customWidth="1"/>
    <col min="14344" max="14592" width="9" style="133"/>
    <col min="14593" max="14593" width="17.25" style="133" customWidth="1"/>
    <col min="14594" max="14594" width="18.125" style="133" customWidth="1"/>
    <col min="14595" max="14595" width="12.25" style="133" customWidth="1"/>
    <col min="14596" max="14596" width="8.5" style="133" customWidth="1"/>
    <col min="14597" max="14597" width="9.5" style="133" customWidth="1"/>
    <col min="14598" max="14598" width="15.75" style="133" customWidth="1"/>
    <col min="14599" max="14599" width="12.5" style="133" customWidth="1"/>
    <col min="14600" max="14848" width="9" style="133"/>
    <col min="14849" max="14849" width="17.25" style="133" customWidth="1"/>
    <col min="14850" max="14850" width="18.125" style="133" customWidth="1"/>
    <col min="14851" max="14851" width="12.25" style="133" customWidth="1"/>
    <col min="14852" max="14852" width="8.5" style="133" customWidth="1"/>
    <col min="14853" max="14853" width="9.5" style="133" customWidth="1"/>
    <col min="14854" max="14854" width="15.75" style="133" customWidth="1"/>
    <col min="14855" max="14855" width="12.5" style="133" customWidth="1"/>
    <col min="14856" max="15104" width="9" style="133"/>
    <col min="15105" max="15105" width="17.25" style="133" customWidth="1"/>
    <col min="15106" max="15106" width="18.125" style="133" customWidth="1"/>
    <col min="15107" max="15107" width="12.25" style="133" customWidth="1"/>
    <col min="15108" max="15108" width="8.5" style="133" customWidth="1"/>
    <col min="15109" max="15109" width="9.5" style="133" customWidth="1"/>
    <col min="15110" max="15110" width="15.75" style="133" customWidth="1"/>
    <col min="15111" max="15111" width="12.5" style="133" customWidth="1"/>
    <col min="15112" max="15360" width="9" style="133"/>
    <col min="15361" max="15361" width="17.25" style="133" customWidth="1"/>
    <col min="15362" max="15362" width="18.125" style="133" customWidth="1"/>
    <col min="15363" max="15363" width="12.25" style="133" customWidth="1"/>
    <col min="15364" max="15364" width="8.5" style="133" customWidth="1"/>
    <col min="15365" max="15365" width="9.5" style="133" customWidth="1"/>
    <col min="15366" max="15366" width="15.75" style="133" customWidth="1"/>
    <col min="15367" max="15367" width="12.5" style="133" customWidth="1"/>
    <col min="15368" max="15616" width="9" style="133"/>
    <col min="15617" max="15617" width="17.25" style="133" customWidth="1"/>
    <col min="15618" max="15618" width="18.125" style="133" customWidth="1"/>
    <col min="15619" max="15619" width="12.25" style="133" customWidth="1"/>
    <col min="15620" max="15620" width="8.5" style="133" customWidth="1"/>
    <col min="15621" max="15621" width="9.5" style="133" customWidth="1"/>
    <col min="15622" max="15622" width="15.75" style="133" customWidth="1"/>
    <col min="15623" max="15623" width="12.5" style="133" customWidth="1"/>
    <col min="15624" max="15872" width="9" style="133"/>
    <col min="15873" max="15873" width="17.25" style="133" customWidth="1"/>
    <col min="15874" max="15874" width="18.125" style="133" customWidth="1"/>
    <col min="15875" max="15875" width="12.25" style="133" customWidth="1"/>
    <col min="15876" max="15876" width="8.5" style="133" customWidth="1"/>
    <col min="15877" max="15877" width="9.5" style="133" customWidth="1"/>
    <col min="15878" max="15878" width="15.75" style="133" customWidth="1"/>
    <col min="15879" max="15879" width="12.5" style="133" customWidth="1"/>
    <col min="15880" max="16128" width="9" style="133"/>
    <col min="16129" max="16129" width="17.25" style="133" customWidth="1"/>
    <col min="16130" max="16130" width="18.125" style="133" customWidth="1"/>
    <col min="16131" max="16131" width="12.25" style="133" customWidth="1"/>
    <col min="16132" max="16132" width="8.5" style="133" customWidth="1"/>
    <col min="16133" max="16133" width="9.5" style="133" customWidth="1"/>
    <col min="16134" max="16134" width="15.75" style="133" customWidth="1"/>
    <col min="16135" max="16135" width="12.5" style="133" customWidth="1"/>
    <col min="16136" max="16384" width="9" style="133"/>
  </cols>
  <sheetData>
    <row r="1" spans="1:8" ht="18.75" customHeight="1">
      <c r="A1" s="622" t="s">
        <v>604</v>
      </c>
      <c r="B1" s="623"/>
      <c r="C1" s="623"/>
      <c r="D1" s="2203" t="str">
        <f>H2&amp;"様式4"&amp;H3</f>
        <v>加-23_月申-様式4-保_Ver.2.01</v>
      </c>
      <c r="E1" s="2203"/>
      <c r="F1" s="2203"/>
      <c r="G1" s="130"/>
      <c r="H1" s="190" t="s">
        <v>1018</v>
      </c>
    </row>
    <row r="2" spans="1:8" ht="18.75" customHeight="1">
      <c r="A2" s="623"/>
      <c r="B2" s="623"/>
      <c r="C2" s="623"/>
      <c r="D2" s="623"/>
      <c r="E2" s="119"/>
      <c r="F2" s="119"/>
      <c r="G2" s="130"/>
      <c r="H2" s="190" t="str">
        <f>【様式１】総括表・個票!$AJ$2</f>
        <v>加-23_月申-</v>
      </c>
    </row>
    <row r="3" spans="1:8" ht="14.25">
      <c r="A3" s="2212" t="str">
        <f>【様式2】職員名簿!A2</f>
        <v>2023年度</v>
      </c>
      <c r="B3" s="2212"/>
      <c r="C3" s="2212"/>
      <c r="D3" s="624" t="s">
        <v>16</v>
      </c>
      <c r="E3" s="624" t="str">
        <f>【様式2】職員名簿!G2</f>
        <v>【月分】</v>
      </c>
      <c r="F3" s="630"/>
      <c r="H3" s="190" t="str">
        <f>【様式１】総括表・個票!$AJ$3</f>
        <v>-保_Ver.2.01</v>
      </c>
    </row>
    <row r="4" spans="1:8" ht="12.75" thickBot="1">
      <c r="A4" s="625"/>
      <c r="B4" s="625"/>
      <c r="C4" s="625"/>
      <c r="D4" s="626"/>
      <c r="E4" s="631"/>
      <c r="F4" s="631"/>
    </row>
    <row r="5" spans="1:8" s="132" customFormat="1" ht="18.75" customHeight="1">
      <c r="A5" s="627" t="s">
        <v>17</v>
      </c>
      <c r="B5" s="628" t="s">
        <v>18</v>
      </c>
      <c r="C5" s="628" t="s">
        <v>19</v>
      </c>
      <c r="D5" s="629" t="s">
        <v>1124</v>
      </c>
      <c r="E5" s="629" t="s">
        <v>20</v>
      </c>
      <c r="F5" s="632" t="s">
        <v>21</v>
      </c>
    </row>
    <row r="6" spans="1:8" ht="30" customHeight="1">
      <c r="A6" s="2204"/>
      <c r="B6" s="1046"/>
      <c r="C6" s="1047"/>
      <c r="D6" s="2206"/>
      <c r="E6" s="2206"/>
      <c r="F6" s="2208"/>
    </row>
    <row r="7" spans="1:8" ht="30" customHeight="1">
      <c r="A7" s="2205"/>
      <c r="B7" s="1046"/>
      <c r="C7" s="1047"/>
      <c r="D7" s="2207"/>
      <c r="E7" s="2207"/>
      <c r="F7" s="2209"/>
    </row>
    <row r="8" spans="1:8" ht="30" customHeight="1">
      <c r="A8" s="2204"/>
      <c r="B8" s="1046"/>
      <c r="C8" s="1047"/>
      <c r="D8" s="2206"/>
      <c r="E8" s="2206"/>
      <c r="F8" s="2208"/>
    </row>
    <row r="9" spans="1:8" ht="30" customHeight="1">
      <c r="A9" s="2205"/>
      <c r="B9" s="1046"/>
      <c r="C9" s="1047"/>
      <c r="D9" s="2207"/>
      <c r="E9" s="2207"/>
      <c r="F9" s="2209"/>
    </row>
    <row r="10" spans="1:8" ht="30" customHeight="1">
      <c r="A10" s="2204"/>
      <c r="B10" s="1046"/>
      <c r="C10" s="1047"/>
      <c r="D10" s="2206"/>
      <c r="E10" s="2206"/>
      <c r="F10" s="2208"/>
    </row>
    <row r="11" spans="1:8" ht="30" customHeight="1">
      <c r="A11" s="2205"/>
      <c r="B11" s="1046"/>
      <c r="C11" s="1047"/>
      <c r="D11" s="2207"/>
      <c r="E11" s="2207"/>
      <c r="F11" s="2209"/>
    </row>
    <row r="12" spans="1:8" ht="30" customHeight="1">
      <c r="A12" s="2204"/>
      <c r="B12" s="1046"/>
      <c r="C12" s="1047"/>
      <c r="D12" s="2206"/>
      <c r="E12" s="2206"/>
      <c r="F12" s="2208"/>
    </row>
    <row r="13" spans="1:8" ht="30" customHeight="1">
      <c r="A13" s="2205"/>
      <c r="B13" s="1046"/>
      <c r="C13" s="1047"/>
      <c r="D13" s="2207"/>
      <c r="E13" s="2207"/>
      <c r="F13" s="2209"/>
    </row>
    <row r="14" spans="1:8" ht="30" customHeight="1">
      <c r="A14" s="2204"/>
      <c r="B14" s="1046"/>
      <c r="C14" s="1047"/>
      <c r="D14" s="2206"/>
      <c r="E14" s="2206"/>
      <c r="F14" s="2208"/>
    </row>
    <row r="15" spans="1:8" ht="30" customHeight="1">
      <c r="A15" s="2205"/>
      <c r="B15" s="1046"/>
      <c r="C15" s="1047"/>
      <c r="D15" s="2207"/>
      <c r="E15" s="2207"/>
      <c r="F15" s="2209"/>
    </row>
    <row r="16" spans="1:8" ht="30" customHeight="1">
      <c r="A16" s="2204"/>
      <c r="B16" s="1046"/>
      <c r="C16" s="1047"/>
      <c r="D16" s="2206"/>
      <c r="E16" s="2206"/>
      <c r="F16" s="2208"/>
    </row>
    <row r="17" spans="1:6" ht="30" customHeight="1">
      <c r="A17" s="2205"/>
      <c r="B17" s="1046"/>
      <c r="C17" s="1047"/>
      <c r="D17" s="2207"/>
      <c r="E17" s="2207"/>
      <c r="F17" s="2209"/>
    </row>
    <row r="18" spans="1:6" ht="30" customHeight="1">
      <c r="A18" s="2204"/>
      <c r="B18" s="1046"/>
      <c r="C18" s="1047"/>
      <c r="D18" s="2206"/>
      <c r="E18" s="2206"/>
      <c r="F18" s="2208"/>
    </row>
    <row r="19" spans="1:6" ht="30" customHeight="1">
      <c r="A19" s="2205"/>
      <c r="B19" s="1046"/>
      <c r="C19" s="1047"/>
      <c r="D19" s="2207"/>
      <c r="E19" s="2207"/>
      <c r="F19" s="2209"/>
    </row>
    <row r="20" spans="1:6" ht="30" customHeight="1">
      <c r="A20" s="2204"/>
      <c r="B20" s="1046"/>
      <c r="C20" s="1047"/>
      <c r="D20" s="2206"/>
      <c r="E20" s="2206"/>
      <c r="F20" s="2208"/>
    </row>
    <row r="21" spans="1:6" ht="30" customHeight="1">
      <c r="A21" s="2205"/>
      <c r="B21" s="1046"/>
      <c r="C21" s="1047"/>
      <c r="D21" s="2207"/>
      <c r="E21" s="2207"/>
      <c r="F21" s="2209"/>
    </row>
    <row r="22" spans="1:6" ht="30" customHeight="1">
      <c r="A22" s="2204"/>
      <c r="B22" s="1046"/>
      <c r="C22" s="1047"/>
      <c r="D22" s="2206"/>
      <c r="E22" s="2206"/>
      <c r="F22" s="2208"/>
    </row>
    <row r="23" spans="1:6" ht="30" customHeight="1">
      <c r="A23" s="2205"/>
      <c r="B23" s="1046"/>
      <c r="C23" s="1047"/>
      <c r="D23" s="2207"/>
      <c r="E23" s="2207"/>
      <c r="F23" s="2209"/>
    </row>
    <row r="24" spans="1:6" ht="30" customHeight="1">
      <c r="A24" s="2204"/>
      <c r="B24" s="1046"/>
      <c r="C24" s="1047"/>
      <c r="D24" s="2206"/>
      <c r="E24" s="2206"/>
      <c r="F24" s="2208"/>
    </row>
    <row r="25" spans="1:6" ht="30" customHeight="1" thickBot="1">
      <c r="A25" s="2205"/>
      <c r="B25" s="1046"/>
      <c r="C25" s="1047"/>
      <c r="D25" s="2207"/>
      <c r="E25" s="2207"/>
      <c r="F25" s="2209"/>
    </row>
    <row r="26" spans="1:6" ht="20.25" customHeight="1">
      <c r="A26" s="2213" t="s">
        <v>22</v>
      </c>
      <c r="B26" s="2215" t="s">
        <v>23</v>
      </c>
      <c r="C26" s="2216"/>
      <c r="D26" s="2217"/>
      <c r="E26" s="2218"/>
      <c r="F26" s="2219"/>
    </row>
    <row r="27" spans="1:6" ht="34.5" customHeight="1" thickBot="1">
      <c r="A27" s="2214"/>
      <c r="B27" s="2223">
        <f>SUM(C6:C25)</f>
        <v>0</v>
      </c>
      <c r="C27" s="2224">
        <v>0</v>
      </c>
      <c r="D27" s="2220"/>
      <c r="E27" s="2221"/>
      <c r="F27" s="2222"/>
    </row>
    <row r="28" spans="1:6" s="150" customFormat="1" ht="15" customHeight="1">
      <c r="A28" s="633"/>
      <c r="B28" s="633"/>
      <c r="C28" s="633"/>
      <c r="D28" s="633"/>
      <c r="E28" s="633"/>
      <c r="F28" s="633"/>
    </row>
    <row r="29" spans="1:6" s="150" customFormat="1" ht="15" customHeight="1">
      <c r="A29" s="634" t="s">
        <v>418</v>
      </c>
      <c r="B29" s="634"/>
      <c r="C29" s="634"/>
      <c r="D29" s="634"/>
      <c r="E29" s="634"/>
      <c r="F29" s="634"/>
    </row>
    <row r="30" spans="1:6" s="150" customFormat="1" ht="15" customHeight="1">
      <c r="A30" s="2210" t="s">
        <v>24</v>
      </c>
      <c r="B30" s="2210"/>
      <c r="C30" s="2210"/>
      <c r="D30" s="2210"/>
      <c r="E30" s="2210"/>
      <c r="F30" s="2210"/>
    </row>
    <row r="31" spans="1:6" s="150" customFormat="1" ht="15" customHeight="1">
      <c r="A31" s="2210" t="s">
        <v>25</v>
      </c>
      <c r="B31" s="2210"/>
      <c r="C31" s="2210"/>
      <c r="D31" s="2210"/>
      <c r="E31" s="2210"/>
      <c r="F31" s="2210"/>
    </row>
    <row r="32" spans="1:6" s="150" customFormat="1" ht="15" customHeight="1">
      <c r="A32" s="2210" t="s">
        <v>189</v>
      </c>
      <c r="B32" s="2210"/>
      <c r="C32" s="2210"/>
      <c r="D32" s="2210"/>
      <c r="E32" s="2210"/>
      <c r="F32" s="2210"/>
    </row>
    <row r="33" spans="11:20" ht="10.5" customHeight="1"/>
    <row r="34" spans="11:20" ht="12.75" customHeight="1">
      <c r="K34" s="131"/>
      <c r="N34" s="2211"/>
      <c r="O34" s="2211"/>
      <c r="P34" s="2211"/>
      <c r="Q34" s="2211"/>
      <c r="R34" s="2211"/>
      <c r="S34" s="2211"/>
      <c r="T34" s="2211"/>
    </row>
  </sheetData>
  <mergeCells count="50">
    <mergeCell ref="A30:F30"/>
    <mergeCell ref="A31:F31"/>
    <mergeCell ref="A32:F32"/>
    <mergeCell ref="N34:T34"/>
    <mergeCell ref="A3:C3"/>
    <mergeCell ref="A26:A27"/>
    <mergeCell ref="B26:C26"/>
    <mergeCell ref="D26:F27"/>
    <mergeCell ref="B27:C27"/>
    <mergeCell ref="A8:A9"/>
    <mergeCell ref="D8:D9"/>
    <mergeCell ref="E8:E9"/>
    <mergeCell ref="F8:F9"/>
    <mergeCell ref="A10:A11"/>
    <mergeCell ref="D10:D11"/>
    <mergeCell ref="E10:E11"/>
    <mergeCell ref="A6:A7"/>
    <mergeCell ref="D6:D7"/>
    <mergeCell ref="E6:E7"/>
    <mergeCell ref="F6:F7"/>
    <mergeCell ref="E12:E13"/>
    <mergeCell ref="F12:F13"/>
    <mergeCell ref="A24:A25"/>
    <mergeCell ref="D24:D25"/>
    <mergeCell ref="E24:E25"/>
    <mergeCell ref="F24:F25"/>
    <mergeCell ref="A20:A21"/>
    <mergeCell ref="D20:D21"/>
    <mergeCell ref="E20:E21"/>
    <mergeCell ref="F20:F21"/>
    <mergeCell ref="A22:A23"/>
    <mergeCell ref="D22:D23"/>
    <mergeCell ref="E22:E23"/>
    <mergeCell ref="F22:F23"/>
    <mergeCell ref="D1:F1"/>
    <mergeCell ref="A18:A19"/>
    <mergeCell ref="D18:D19"/>
    <mergeCell ref="E18:E19"/>
    <mergeCell ref="F18:F19"/>
    <mergeCell ref="A14:A15"/>
    <mergeCell ref="D14:D15"/>
    <mergeCell ref="E14:E15"/>
    <mergeCell ref="F14:F15"/>
    <mergeCell ref="A16:A17"/>
    <mergeCell ref="D16:D17"/>
    <mergeCell ref="E16:E17"/>
    <mergeCell ref="F16:F17"/>
    <mergeCell ref="F10:F11"/>
    <mergeCell ref="A12:A13"/>
    <mergeCell ref="D12:D13"/>
  </mergeCells>
  <phoneticPr fontId="1"/>
  <pageMargins left="0.78740157480314965" right="0.78740157480314965" top="0.51181102362204722" bottom="0.51181102362204722" header="0.51181102362204722" footer="0.51181102362204722"/>
  <pageSetup paperSize="9" fitToHeight="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tabColor rgb="FFFF0000"/>
  </sheetPr>
  <dimension ref="A1:BN215"/>
  <sheetViews>
    <sheetView view="pageBreakPreview" zoomScale="70" zoomScaleNormal="85" zoomScaleSheetLayoutView="70" workbookViewId="0">
      <selection activeCell="A2" sqref="A2"/>
    </sheetView>
  </sheetViews>
  <sheetFormatPr defaultColWidth="9" defaultRowHeight="12" outlineLevelRow="1" outlineLevelCol="1"/>
  <cols>
    <col min="1" max="1" width="10.75" style="147" customWidth="1"/>
    <col min="2" max="15" width="10.625" style="147" customWidth="1"/>
    <col min="16" max="16" width="53.125" style="334" customWidth="1"/>
    <col min="17" max="19" width="5.625" style="334" hidden="1" customWidth="1" outlineLevel="1"/>
    <col min="20" max="20" width="5.25" style="334" hidden="1" customWidth="1" outlineLevel="1"/>
    <col min="21" max="28" width="5.625" style="334" hidden="1" customWidth="1" outlineLevel="1"/>
    <col min="29" max="29" width="7" style="334" hidden="1" customWidth="1" outlineLevel="1"/>
    <col min="30" max="36" width="5.625" style="334" hidden="1" customWidth="1" outlineLevel="1"/>
    <col min="37" max="37" width="13.625" style="334" hidden="1" customWidth="1" outlineLevel="1"/>
    <col min="38" max="38" width="13.125" style="334" hidden="1" customWidth="1" outlineLevel="1"/>
    <col min="39" max="40" width="9" style="334" hidden="1" customWidth="1" outlineLevel="1"/>
    <col min="41" max="41" width="13.375" style="334" hidden="1" customWidth="1" outlineLevel="1"/>
    <col min="42" max="65" width="9" style="334" hidden="1" customWidth="1" outlineLevel="1"/>
    <col min="66" max="66" width="9" style="334" collapsed="1"/>
    <col min="67" max="16384" width="9" style="334"/>
  </cols>
  <sheetData>
    <row r="1" spans="1:66" s="310" customFormat="1" ht="15" customHeight="1" thickBot="1">
      <c r="A1" s="504" t="s">
        <v>605</v>
      </c>
      <c r="B1" s="505"/>
      <c r="C1" s="505"/>
      <c r="D1" s="505"/>
      <c r="E1" s="505"/>
      <c r="F1" s="505"/>
      <c r="G1" s="505"/>
      <c r="H1" s="505"/>
      <c r="I1" s="505"/>
      <c r="J1" s="2126" t="str">
        <f>Q2&amp;"様式5"&amp;Q3</f>
        <v>加-23_月申-様式5-保_Ver.2.01</v>
      </c>
      <c r="K1" s="2126"/>
      <c r="L1" s="2126"/>
      <c r="M1" s="2126"/>
      <c r="N1" s="2126"/>
      <c r="O1" s="2126"/>
      <c r="P1" s="402"/>
      <c r="Q1" s="190" t="s">
        <v>1018</v>
      </c>
      <c r="AL1" s="432" t="s">
        <v>788</v>
      </c>
      <c r="AM1" s="432" t="s">
        <v>789</v>
      </c>
      <c r="AN1" s="433" t="s">
        <v>83</v>
      </c>
      <c r="AO1" s="432" t="s">
        <v>1256</v>
      </c>
      <c r="AP1" s="432" t="s">
        <v>83</v>
      </c>
      <c r="AQ1" s="434" t="s">
        <v>790</v>
      </c>
      <c r="AR1" s="2498" t="s">
        <v>885</v>
      </c>
      <c r="AS1" s="2499"/>
      <c r="AT1" s="2499"/>
      <c r="AU1" s="2499"/>
      <c r="AV1" s="2499"/>
      <c r="AW1" s="2499"/>
      <c r="AX1" s="2499"/>
      <c r="AY1" s="2499"/>
      <c r="AZ1" s="2499"/>
      <c r="BA1" s="2499"/>
      <c r="BB1" s="2499"/>
      <c r="BC1" s="2499"/>
      <c r="BD1" s="2499"/>
      <c r="BE1" s="2499"/>
      <c r="BF1" s="2499"/>
      <c r="BG1" s="2499"/>
      <c r="BH1" s="2499"/>
      <c r="BI1" s="2499"/>
      <c r="BJ1" s="2499"/>
      <c r="BK1" s="2499"/>
      <c r="BL1" s="2499"/>
      <c r="BM1" s="2500"/>
      <c r="BN1" s="337"/>
    </row>
    <row r="2" spans="1:66" s="310" customFormat="1" ht="15" customHeight="1" thickBot="1">
      <c r="A2" s="505"/>
      <c r="B2" s="505"/>
      <c r="C2" s="505"/>
      <c r="D2" s="505"/>
      <c r="E2" s="505"/>
      <c r="F2" s="505"/>
      <c r="G2" s="505"/>
      <c r="H2" s="505"/>
      <c r="I2" s="505"/>
      <c r="J2" s="505"/>
      <c r="K2" s="505"/>
      <c r="L2" s="509"/>
      <c r="M2" s="505"/>
      <c r="N2" s="509"/>
      <c r="O2" s="509"/>
      <c r="P2" s="402"/>
      <c r="Q2" s="190" t="str">
        <f>【様式１】総括表・個票!$AJ$2</f>
        <v>加-23_月申-</v>
      </c>
      <c r="AL2" s="438" t="b">
        <f>AND(OR(AL3&gt;0,AL4&gt;0),ISNUMBER(AL3))</f>
        <v>0</v>
      </c>
      <c r="AM2" s="432">
        <f>【様式2】職員名簿!$F$5</f>
        <v>0</v>
      </c>
      <c r="AN2" s="433"/>
      <c r="AO2" s="432"/>
      <c r="AP2" s="432"/>
      <c r="AQ2" s="434" t="str">
        <f>【様式2】職員名簿!AA26</f>
        <v>施設長</v>
      </c>
      <c r="AR2" s="2566" t="s">
        <v>791</v>
      </c>
      <c r="AS2" s="2567"/>
      <c r="AT2" s="2567"/>
      <c r="AU2" s="2567"/>
      <c r="AV2" s="2567"/>
      <c r="AW2" s="2566" t="s">
        <v>887</v>
      </c>
      <c r="AX2" s="2568"/>
      <c r="AY2" s="2569" t="s">
        <v>927</v>
      </c>
      <c r="AZ2" s="2568"/>
      <c r="BA2" s="2569" t="s">
        <v>927</v>
      </c>
      <c r="BB2" s="2568"/>
      <c r="BC2" s="2566" t="s">
        <v>5</v>
      </c>
      <c r="BD2" s="2568"/>
      <c r="BE2" s="2566" t="s">
        <v>145</v>
      </c>
      <c r="BF2" s="2568"/>
      <c r="BG2" s="2566" t="s">
        <v>888</v>
      </c>
      <c r="BH2" s="2568"/>
      <c r="BI2" s="2566" t="s">
        <v>792</v>
      </c>
      <c r="BJ2" s="2567"/>
      <c r="BK2" s="2566" t="s">
        <v>793</v>
      </c>
      <c r="BL2" s="2567"/>
      <c r="BM2" s="2567"/>
    </row>
    <row r="3" spans="1:66" s="310" customFormat="1" ht="15" customHeight="1" thickTop="1" thickBot="1">
      <c r="A3" s="505"/>
      <c r="B3" s="2231" t="str">
        <f>【様式2】職員名簿!$A$2</f>
        <v>2023年度</v>
      </c>
      <c r="C3" s="2231"/>
      <c r="D3" s="2576" t="s">
        <v>889</v>
      </c>
      <c r="E3" s="2576"/>
      <c r="F3" s="2576"/>
      <c r="G3" s="2576"/>
      <c r="H3" s="2576"/>
      <c r="I3" s="2576"/>
      <c r="J3" s="2576"/>
      <c r="K3" s="2576" t="str">
        <f>+"【"&amp;【様式１】総括表・個票!I10&amp;"月分】"</f>
        <v>【月分】</v>
      </c>
      <c r="L3" s="2576"/>
      <c r="M3" s="2576"/>
      <c r="N3" s="506"/>
      <c r="O3" s="506"/>
      <c r="P3" s="410"/>
      <c r="Q3" s="190" t="str">
        <f>【様式１】総括表・個票!$AJ$3</f>
        <v>-保_Ver.2.01</v>
      </c>
      <c r="AK3" s="315" t="s">
        <v>1002</v>
      </c>
      <c r="AL3" s="443">
        <f>AM2/2</f>
        <v>0</v>
      </c>
      <c r="AN3" s="433" t="s">
        <v>891</v>
      </c>
      <c r="AO3" s="432">
        <v>1</v>
      </c>
      <c r="AP3" s="432" t="str">
        <f>IFERROR(IF(AND($M$153&gt;=0,AO3&lt;=$J$56),AO3,""),"")</f>
        <v/>
      </c>
      <c r="AQ3" s="434" t="str">
        <f>【様式2】職員名簿!AA27</f>
        <v>保育士</v>
      </c>
      <c r="AR3" s="312"/>
      <c r="AS3" s="969"/>
      <c r="AT3" s="969"/>
      <c r="AU3" s="969"/>
      <c r="AV3" s="430"/>
      <c r="AW3" s="312" t="str">
        <f>AQ2</f>
        <v>施設長</v>
      </c>
      <c r="AX3" s="2570" t="s">
        <v>794</v>
      </c>
      <c r="AY3" s="312" t="str">
        <f>AQ3</f>
        <v>保育士</v>
      </c>
      <c r="AZ3" s="2570" t="s">
        <v>794</v>
      </c>
      <c r="BA3" s="312" t="str">
        <f>AQ3</f>
        <v>保育士</v>
      </c>
      <c r="BB3" s="2570" t="s">
        <v>794</v>
      </c>
      <c r="BC3" s="312" t="str">
        <f>AQ4</f>
        <v>栄養士</v>
      </c>
      <c r="BD3" s="2570" t="s">
        <v>794</v>
      </c>
      <c r="BE3" s="312" t="str">
        <f>AQ4</f>
        <v>栄養士</v>
      </c>
      <c r="BF3" s="2570" t="s">
        <v>794</v>
      </c>
      <c r="BG3" s="312" t="str">
        <f>AQ6</f>
        <v>事務員</v>
      </c>
      <c r="BH3" s="2570" t="s">
        <v>794</v>
      </c>
      <c r="BI3" s="312" t="s">
        <v>892</v>
      </c>
      <c r="BJ3" s="2573" t="s">
        <v>794</v>
      </c>
      <c r="BK3" s="313"/>
      <c r="BL3" s="314"/>
      <c r="BM3" s="311"/>
    </row>
    <row r="4" spans="1:66" s="310" customFormat="1" ht="15" customHeight="1" thickTop="1" thickBot="1">
      <c r="A4" s="504" t="s">
        <v>555</v>
      </c>
      <c r="B4" s="505"/>
      <c r="C4" s="507"/>
      <c r="D4" s="507"/>
      <c r="E4" s="507"/>
      <c r="F4" s="508"/>
      <c r="G4" s="508"/>
      <c r="H4" s="508"/>
      <c r="I4" s="508"/>
      <c r="J4" s="510"/>
      <c r="K4" s="508"/>
      <c r="L4" s="510"/>
      <c r="M4" s="505"/>
      <c r="N4" s="505"/>
      <c r="O4" s="505"/>
      <c r="AK4" s="315" t="s">
        <v>1001</v>
      </c>
      <c r="AL4" s="443">
        <f>AM2/5*2</f>
        <v>0</v>
      </c>
      <c r="AN4" s="433" t="s">
        <v>181</v>
      </c>
      <c r="AO4" s="432">
        <v>2</v>
      </c>
      <c r="AP4" s="432" t="str">
        <f>IFERROR(IF(AND($M$153&gt;=0,AO4&lt;=$J$56),AO4,""),"")</f>
        <v/>
      </c>
      <c r="AQ4" s="434" t="str">
        <f>【様式2】職員名簿!AA28</f>
        <v>栄養士</v>
      </c>
      <c r="AR4" s="312"/>
      <c r="AS4" s="969"/>
      <c r="AT4" s="969"/>
      <c r="AU4" s="969"/>
      <c r="AV4" s="430"/>
      <c r="AW4" s="316"/>
      <c r="AX4" s="2571"/>
      <c r="AZ4" s="2571"/>
      <c r="BA4" s="310" t="s">
        <v>946</v>
      </c>
      <c r="BB4" s="2571"/>
      <c r="BD4" s="2571"/>
      <c r="BE4" s="312" t="str">
        <f>AQ5</f>
        <v>調理員</v>
      </c>
      <c r="BF4" s="2571"/>
      <c r="BH4" s="2571"/>
      <c r="BJ4" s="2574"/>
      <c r="BK4" s="313"/>
      <c r="BL4" s="314"/>
      <c r="BM4" s="311"/>
    </row>
    <row r="5" spans="1:66" s="310" customFormat="1" ht="15" customHeight="1" thickTop="1" thickBot="1">
      <c r="A5" s="505" t="s">
        <v>795</v>
      </c>
      <c r="B5" s="505"/>
      <c r="C5" s="505"/>
      <c r="D5" s="505"/>
      <c r="E5" s="505"/>
      <c r="F5" s="505"/>
      <c r="G5" s="505"/>
      <c r="H5" s="505"/>
      <c r="I5" s="505"/>
      <c r="J5" s="511"/>
      <c r="K5" s="505"/>
      <c r="L5" s="948"/>
      <c r="M5" s="505"/>
      <c r="N5" s="948"/>
      <c r="O5" s="948"/>
      <c r="P5" s="322"/>
      <c r="AO5" s="1164"/>
      <c r="AP5" s="1164"/>
      <c r="AQ5" s="434" t="str">
        <f>【様式2】職員名簿!AA29</f>
        <v>調理員</v>
      </c>
      <c r="AR5" s="317"/>
      <c r="AS5" s="953"/>
      <c r="AT5" s="953"/>
      <c r="AU5" s="953"/>
      <c r="AV5" s="952"/>
      <c r="AW5" s="318"/>
      <c r="AX5" s="2572"/>
      <c r="AY5" s="411"/>
      <c r="AZ5" s="2572"/>
      <c r="BA5" s="411"/>
      <c r="BB5" s="2572"/>
      <c r="BC5" s="411"/>
      <c r="BD5" s="2572"/>
      <c r="BF5" s="2572"/>
      <c r="BG5" s="411"/>
      <c r="BH5" s="2572"/>
      <c r="BI5" s="411"/>
      <c r="BJ5" s="2575"/>
      <c r="BK5" s="319"/>
      <c r="BL5" s="320"/>
      <c r="BM5" s="321"/>
    </row>
    <row r="6" spans="1:66" s="310" customFormat="1" ht="15" customHeight="1" thickTop="1" thickBot="1">
      <c r="A6" s="2600" t="s">
        <v>148</v>
      </c>
      <c r="B6" s="2281" t="s">
        <v>0</v>
      </c>
      <c r="C6" s="2281"/>
      <c r="D6" s="2608" t="s">
        <v>597</v>
      </c>
      <c r="E6" s="2609"/>
      <c r="F6" s="2609"/>
      <c r="G6" s="2609"/>
      <c r="H6" s="2609"/>
      <c r="I6" s="2609"/>
      <c r="J6" s="2609"/>
      <c r="K6" s="2609"/>
      <c r="L6" s="2609"/>
      <c r="M6" s="2609"/>
      <c r="N6" s="2247" t="s">
        <v>595</v>
      </c>
      <c r="O6" s="505"/>
      <c r="AO6" s="337"/>
      <c r="AP6" s="337"/>
      <c r="AQ6" s="434" t="str">
        <f>【様式2】職員名簿!AA30</f>
        <v>事務員</v>
      </c>
      <c r="AR6" s="323" t="s">
        <v>898</v>
      </c>
      <c r="AS6" s="324" t="s">
        <v>188</v>
      </c>
      <c r="AT6" s="324" t="s">
        <v>796</v>
      </c>
      <c r="AU6" s="324" t="s">
        <v>797</v>
      </c>
      <c r="AV6" s="325" t="s">
        <v>759</v>
      </c>
      <c r="AW6" s="326" t="s">
        <v>679</v>
      </c>
      <c r="AX6" s="445" t="s">
        <v>760</v>
      </c>
      <c r="AY6" s="325" t="s">
        <v>679</v>
      </c>
      <c r="AZ6" s="445" t="s">
        <v>923</v>
      </c>
      <c r="BA6" s="325" t="s">
        <v>679</v>
      </c>
      <c r="BB6" s="445" t="s">
        <v>948</v>
      </c>
      <c r="BC6" s="327" t="s">
        <v>679</v>
      </c>
      <c r="BD6" s="445" t="s">
        <v>5</v>
      </c>
      <c r="BE6" s="323" t="s">
        <v>679</v>
      </c>
      <c r="BF6" s="445" t="s">
        <v>145</v>
      </c>
      <c r="BG6" s="323" t="s">
        <v>679</v>
      </c>
      <c r="BH6" s="445" t="s">
        <v>761</v>
      </c>
      <c r="BI6" s="323" t="s">
        <v>679</v>
      </c>
      <c r="BJ6" s="445" t="s">
        <v>958</v>
      </c>
      <c r="BK6" s="418"/>
      <c r="BL6" s="445" t="s">
        <v>793</v>
      </c>
      <c r="BM6" s="419"/>
    </row>
    <row r="7" spans="1:66" s="310" customFormat="1" ht="15" customHeight="1" thickBot="1">
      <c r="A7" s="2601"/>
      <c r="B7" s="525" t="s">
        <v>993</v>
      </c>
      <c r="C7" s="524" t="s">
        <v>994</v>
      </c>
      <c r="D7" s="524" t="s">
        <v>596</v>
      </c>
      <c r="E7" s="525" t="s">
        <v>997</v>
      </c>
      <c r="F7" s="869" t="s">
        <v>959</v>
      </c>
      <c r="G7" s="870" t="s">
        <v>960</v>
      </c>
      <c r="H7" s="870" t="s">
        <v>961</v>
      </c>
      <c r="I7" s="870" t="s">
        <v>962</v>
      </c>
      <c r="J7" s="871" t="s">
        <v>963</v>
      </c>
      <c r="K7" s="871" t="s">
        <v>964</v>
      </c>
      <c r="L7" s="872" t="s">
        <v>965</v>
      </c>
      <c r="M7" s="525" t="s">
        <v>15</v>
      </c>
      <c r="N7" s="2072"/>
      <c r="O7" s="505"/>
      <c r="AO7" s="337"/>
      <c r="AP7" s="337"/>
      <c r="AQ7" s="434" t="str">
        <f>【様式2】職員名簿!AA31</f>
        <v>その他</v>
      </c>
      <c r="AR7" s="399">
        <v>0</v>
      </c>
      <c r="AS7" s="407"/>
      <c r="AT7" s="407"/>
      <c r="AU7" s="407"/>
      <c r="AV7" s="409"/>
      <c r="AW7" s="408"/>
      <c r="AX7" s="328"/>
      <c r="AY7" s="409"/>
      <c r="AZ7" s="328"/>
      <c r="BA7" s="409"/>
      <c r="BB7" s="328"/>
      <c r="BC7" s="329"/>
      <c r="BD7" s="328"/>
      <c r="BE7" s="399"/>
      <c r="BF7" s="328"/>
      <c r="BG7" s="399"/>
      <c r="BH7" s="328"/>
      <c r="BI7" s="399"/>
      <c r="BJ7" s="328"/>
      <c r="BK7" s="970" t="str">
        <f>【様式2】職員名簿!C28</f>
        <v>保育士</v>
      </c>
      <c r="BL7" s="420" t="str">
        <f>IFERROR(IF(BK7=【様式2】職員名簿!$J28,【様式2】職員名簿!$B28,"×"),"×")</f>
        <v>×</v>
      </c>
      <c r="BM7" s="421">
        <f>【様式2】職員名簿!G28</f>
        <v>0</v>
      </c>
    </row>
    <row r="8" spans="1:66" s="310" customFormat="1" ht="15" customHeight="1">
      <c r="A8" s="2597" t="s">
        <v>124</v>
      </c>
      <c r="B8" s="2399">
        <f>【様式１】総括表・個票!H14</f>
        <v>0</v>
      </c>
      <c r="C8" s="2399">
        <f>【様式１】総括表・個票!M14</f>
        <v>0</v>
      </c>
      <c r="D8" s="2613" t="s">
        <v>594</v>
      </c>
      <c r="E8" s="745" t="s">
        <v>995</v>
      </c>
      <c r="F8" s="873"/>
      <c r="G8" s="874"/>
      <c r="H8" s="874"/>
      <c r="I8" s="875" t="s">
        <v>873</v>
      </c>
      <c r="J8" s="874"/>
      <c r="K8" s="874"/>
      <c r="L8" s="886"/>
      <c r="M8" s="513">
        <f>SUM(F8:L8)</f>
        <v>0</v>
      </c>
      <c r="N8" s="526">
        <f>SUM(M8,M10)</f>
        <v>0</v>
      </c>
      <c r="O8" s="823"/>
      <c r="AO8" s="337"/>
      <c r="AP8" s="337"/>
      <c r="AQ8" s="1163"/>
      <c r="AR8" s="312">
        <f t="shared" ref="AR8:AR39" si="0">ROW()-ROW($AR$7)</f>
        <v>1</v>
      </c>
      <c r="AS8" s="969" t="str">
        <f>AR8&amp;" "&amp;IF(AU8&lt;&gt;"-",【様式2】職員名簿!B41&amp;"/"&amp;AT8&amp;"/"&amp;AU8,"")</f>
        <v xml:space="preserve">1 </v>
      </c>
      <c r="AT8" s="969">
        <f>【様式2】職員名簿!E41</f>
        <v>0</v>
      </c>
      <c r="AU8" s="969" t="str">
        <f>IF(【様式2】職員名簿!J41="エラー","-",【様式2】職員名簿!J41)</f>
        <v>-</v>
      </c>
      <c r="AV8" s="430">
        <f>IF($AT8="常勤",$AM$2,IF($AT8="非常勤",【様式2】職員名簿!G41,0))</f>
        <v>0</v>
      </c>
      <c r="AW8" s="330">
        <f>IF($AU8=AW$3,COUNTIF($AU$8:$AU8,AW$3),0)</f>
        <v>0</v>
      </c>
      <c r="AX8" s="331" t="str">
        <f t="shared" ref="AX8:AX52" si="1">IFERROR(INDEX($AS$8:$AS$111,MATCH($AR8,AW$8:AW$111,0),1),"")</f>
        <v/>
      </c>
      <c r="AY8" s="332">
        <f>IF($AU8=AY$3,COUNTIF($AU$8:$AU8,AY$3),0)</f>
        <v>0</v>
      </c>
      <c r="AZ8" s="331" t="str">
        <f t="shared" ref="AZ8:AZ52" si="2">IFERROR(INDEX($AS$8:$AS$111,MATCH($AR8,AY$8:AY$111,0),1),"")</f>
        <v/>
      </c>
      <c r="BA8" s="332">
        <f>IF($AU8=BA$3,COUNTIFS($AU$8:$AU8,BA$3,$AT$8:$AT8,BA$4),0)</f>
        <v>0</v>
      </c>
      <c r="BB8" s="331" t="str">
        <f t="shared" ref="BB8:BB52" si="3">IFERROR(INDEX($AS$8:$AS$111,MATCH($AR8,BA$8:BA$111,0),1),"")</f>
        <v/>
      </c>
      <c r="BC8" s="431">
        <f>IF($AU8=BC$3,COUNTIF($AU$8:$AU8,BC$3),0)</f>
        <v>0</v>
      </c>
      <c r="BD8" s="331" t="str">
        <f t="shared" ref="BD8:BD52" si="4">IFERROR(INDEX($AS$8:$AS$111,MATCH($AR8,BC$8:BC$111,0),1),"")</f>
        <v/>
      </c>
      <c r="BE8" s="312">
        <f>IF(OR($AU8=BE$3,$AU8=BE$4),COUNTIF($AU$8:$AU8,BE$3)+COUNTIF($AU$8:$AU8,BE$4),0)</f>
        <v>0</v>
      </c>
      <c r="BF8" s="331" t="str">
        <f t="shared" ref="BF8:BF52" si="5">IFERROR(INDEX($AS$8:$AS$111,MATCH($AR8,BE$8:BE$111,0),1),"")</f>
        <v/>
      </c>
      <c r="BG8" s="312">
        <f>IF($AU8=BG$3,COUNTIF($AU$8:$AU8,BG$3),0)</f>
        <v>0</v>
      </c>
      <c r="BH8" s="331" t="str">
        <f t="shared" ref="BH8:BH52" si="6">IFERROR(INDEX($AS$8:$AS$111,MATCH($AR8,BG$8:BG$111,0),1),"")</f>
        <v/>
      </c>
      <c r="BI8" s="312">
        <f>IF($AU8&lt;&gt;BI$3,COUNTIF($AU$8:$AU8,"&lt;&gt;"&amp;BI$3),0)</f>
        <v>0</v>
      </c>
      <c r="BJ8" s="331" t="str">
        <f t="shared" ref="BJ8:BJ52" si="7">IFERROR(INDEX($AS$8:$AS$111,MATCH($AR8,BI$8:BI$111,0),1),"")</f>
        <v/>
      </c>
      <c r="BK8" s="332" t="str">
        <f>【様式2】職員名簿!C29</f>
        <v>栄養士（委託）</v>
      </c>
      <c r="BL8" s="331" t="str">
        <f>IFERROR(IF(BK8=【様式2】職員名簿!$J29,【様式2】職員名簿!$B29,"×"),"×")</f>
        <v>×</v>
      </c>
      <c r="BM8" s="422">
        <f>【様式2】職員名簿!G29</f>
        <v>0</v>
      </c>
    </row>
    <row r="9" spans="1:66" s="310" customFormat="1" ht="15" customHeight="1">
      <c r="A9" s="2598"/>
      <c r="B9" s="2400"/>
      <c r="C9" s="2400"/>
      <c r="D9" s="2614"/>
      <c r="E9" s="763" t="s">
        <v>996</v>
      </c>
      <c r="F9" s="876"/>
      <c r="G9" s="877"/>
      <c r="H9" s="877"/>
      <c r="I9" s="878" t="s">
        <v>874</v>
      </c>
      <c r="J9" s="877"/>
      <c r="K9" s="877"/>
      <c r="L9" s="1029"/>
      <c r="M9" s="764">
        <f>SUM(F9:L9)</f>
        <v>0</v>
      </c>
      <c r="N9" s="765">
        <f>SUM(M9,M11)</f>
        <v>0</v>
      </c>
      <c r="O9" s="823"/>
      <c r="AO9" s="337"/>
      <c r="AP9" s="337"/>
      <c r="AR9" s="312">
        <f t="shared" si="0"/>
        <v>2</v>
      </c>
      <c r="AS9" s="1049" t="str">
        <f>AR9&amp;" "&amp;IF(AU9&lt;&gt;"-",【様式2】職員名簿!B42&amp;"/"&amp;AT9&amp;"/"&amp;AU9,"")</f>
        <v xml:space="preserve">2 </v>
      </c>
      <c r="AT9" s="1049">
        <f>【様式2】職員名簿!E42</f>
        <v>0</v>
      </c>
      <c r="AU9" s="1049" t="str">
        <f>IF(【様式2】職員名簿!J42="エラー","-",【様式2】職員名簿!J42)</f>
        <v>-</v>
      </c>
      <c r="AV9" s="430">
        <f>IF($AT9="常勤",$AM$2,IF($AT9="非常勤",【様式2】職員名簿!G42,0))</f>
        <v>0</v>
      </c>
      <c r="AW9" s="330">
        <f>IF($AU9=AW$3,COUNTIF($AU$8:$AU9,AW$3),0)</f>
        <v>0</v>
      </c>
      <c r="AX9" s="331" t="str">
        <f t="shared" si="1"/>
        <v/>
      </c>
      <c r="AY9" s="332">
        <f>IF($AU9=AY$3,COUNTIF($AU$8:$AU9,AY$3),0)</f>
        <v>0</v>
      </c>
      <c r="AZ9" s="331" t="str">
        <f t="shared" si="2"/>
        <v/>
      </c>
      <c r="BA9" s="332">
        <f>IF($AU9=BA$3,COUNTIFS($AU$8:$AU9,BA$3,$AT$8:$AT9,BA$4),0)</f>
        <v>0</v>
      </c>
      <c r="BB9" s="331" t="str">
        <f t="shared" si="3"/>
        <v/>
      </c>
      <c r="BC9" s="431">
        <f>IF($AU9=BC$3,COUNTIF($AU$8:$AU9,BC$3),0)</f>
        <v>0</v>
      </c>
      <c r="BD9" s="331" t="str">
        <f t="shared" si="4"/>
        <v/>
      </c>
      <c r="BE9" s="312">
        <f>IF(OR($AU9=BE$3,$AU9=BE$4),COUNTIF($AU$8:$AU9,BE$3)+COUNTIF($AU$8:$AU9,BE$4),0)</f>
        <v>0</v>
      </c>
      <c r="BF9" s="331" t="str">
        <f t="shared" si="5"/>
        <v/>
      </c>
      <c r="BG9" s="312">
        <f>IF($AU9=BG$3,COUNTIF($AU$8:$AU9,BG$3),0)</f>
        <v>0</v>
      </c>
      <c r="BH9" s="331" t="str">
        <f t="shared" si="6"/>
        <v/>
      </c>
      <c r="BI9" s="312">
        <f>IF($AU9&lt;&gt;BI$3,COUNTIF($AU$8:$AU9,"&lt;&gt;"&amp;BI$3),0)</f>
        <v>0</v>
      </c>
      <c r="BJ9" s="331" t="str">
        <f t="shared" si="7"/>
        <v/>
      </c>
      <c r="BK9" s="332" t="str">
        <f>【様式2】職員名簿!C30</f>
        <v>調理員（委託）</v>
      </c>
      <c r="BL9" s="331" t="str">
        <f>IFERROR(IF(BK9=【様式2】職員名簿!$J30,【様式2】職員名簿!$B30,"×"),"×")</f>
        <v>×</v>
      </c>
      <c r="BM9" s="422">
        <f>【様式2】職員名簿!G30</f>
        <v>0</v>
      </c>
    </row>
    <row r="10" spans="1:66" s="310" customFormat="1" ht="15" customHeight="1">
      <c r="A10" s="2598"/>
      <c r="B10" s="2400"/>
      <c r="C10" s="2400"/>
      <c r="D10" s="2615" t="s">
        <v>593</v>
      </c>
      <c r="E10" s="523" t="s">
        <v>995</v>
      </c>
      <c r="F10" s="879"/>
      <c r="G10" s="880"/>
      <c r="H10" s="880"/>
      <c r="I10" s="881" t="s">
        <v>874</v>
      </c>
      <c r="J10" s="880"/>
      <c r="K10" s="880"/>
      <c r="L10" s="892"/>
      <c r="M10" s="515">
        <f>SUM(F10:L10)</f>
        <v>0</v>
      </c>
      <c r="N10" s="516" t="s">
        <v>926</v>
      </c>
      <c r="O10" s="823"/>
      <c r="AO10" s="337"/>
      <c r="AP10" s="337"/>
      <c r="AR10" s="312">
        <f t="shared" si="0"/>
        <v>3</v>
      </c>
      <c r="AS10" s="1049" t="str">
        <f>AR10&amp;" "&amp;IF(AU10&lt;&gt;"-",【様式2】職員名簿!B43&amp;"/"&amp;AT10&amp;"/"&amp;AU10,"")</f>
        <v xml:space="preserve">3 </v>
      </c>
      <c r="AT10" s="1049">
        <f>【様式2】職員名簿!E43</f>
        <v>0</v>
      </c>
      <c r="AU10" s="1049" t="str">
        <f>IF(【様式2】職員名簿!J43="エラー","-",【様式2】職員名簿!J43)</f>
        <v>-</v>
      </c>
      <c r="AV10" s="430">
        <f>IF($AT10="常勤",$AM$2,IF($AT10="非常勤",【様式2】職員名簿!G43,0))</f>
        <v>0</v>
      </c>
      <c r="AW10" s="330">
        <f>IF($AU10=AW$3,COUNTIF($AU$8:$AU10,AW$3),0)</f>
        <v>0</v>
      </c>
      <c r="AX10" s="331" t="str">
        <f t="shared" si="1"/>
        <v/>
      </c>
      <c r="AY10" s="332">
        <f>IF($AU10=AY$3,COUNTIF($AU$8:$AU10,AY$3),0)</f>
        <v>0</v>
      </c>
      <c r="AZ10" s="331" t="str">
        <f t="shared" si="2"/>
        <v/>
      </c>
      <c r="BA10" s="332">
        <f>IF($AU10=BA$3,COUNTIFS($AU$8:$AU10,BA$3,$AT$8:$AT10,BA$4),0)</f>
        <v>0</v>
      </c>
      <c r="BB10" s="331" t="str">
        <f t="shared" si="3"/>
        <v/>
      </c>
      <c r="BC10" s="431">
        <f>IF($AU10=BC$3,COUNTIF($AU$8:$AU10,BC$3),0)</f>
        <v>0</v>
      </c>
      <c r="BD10" s="331" t="str">
        <f t="shared" si="4"/>
        <v/>
      </c>
      <c r="BE10" s="312">
        <f>IF(OR($AU10=BE$3,$AU10=BE$4),COUNTIF($AU$8:$AU10,BE$3)+COUNTIF($AU$8:$AU10,BE$4),0)</f>
        <v>0</v>
      </c>
      <c r="BF10" s="331" t="str">
        <f t="shared" si="5"/>
        <v/>
      </c>
      <c r="BG10" s="312">
        <f>IF($AU10=BG$3,COUNTIF($AU$8:$AU10,BG$3),0)</f>
        <v>0</v>
      </c>
      <c r="BH10" s="331" t="str">
        <f t="shared" si="6"/>
        <v/>
      </c>
      <c r="BI10" s="312">
        <f>IF($AU10&lt;&gt;BI$3,COUNTIF($AU$8:$AU10,"&lt;&gt;"&amp;BI$3),0)</f>
        <v>0</v>
      </c>
      <c r="BJ10" s="331" t="str">
        <f t="shared" si="7"/>
        <v/>
      </c>
      <c r="BK10" s="332" t="str">
        <f>【様式2】職員名簿!C31</f>
        <v>事務員（委託）</v>
      </c>
      <c r="BL10" s="331" t="str">
        <f>IFERROR(IF(BK10=【様式2】職員名簿!$J31,【様式2】職員名簿!$B31,"×"),"×")</f>
        <v>×</v>
      </c>
      <c r="BM10" s="422">
        <f>【様式2】職員名簿!G31</f>
        <v>0</v>
      </c>
    </row>
    <row r="11" spans="1:66" s="310" customFormat="1" ht="15" customHeight="1" thickBot="1">
      <c r="A11" s="2599"/>
      <c r="B11" s="2400"/>
      <c r="C11" s="2400"/>
      <c r="D11" s="2616"/>
      <c r="E11" s="527" t="s">
        <v>996</v>
      </c>
      <c r="F11" s="876"/>
      <c r="G11" s="877"/>
      <c r="H11" s="877"/>
      <c r="I11" s="878" t="s">
        <v>874</v>
      </c>
      <c r="J11" s="877"/>
      <c r="K11" s="877"/>
      <c r="L11" s="1029"/>
      <c r="M11" s="764">
        <f>SUM(F11:L11)</f>
        <v>0</v>
      </c>
      <c r="N11" s="773" t="s">
        <v>874</v>
      </c>
      <c r="O11" s="823"/>
      <c r="AO11" s="337"/>
      <c r="AP11" s="337"/>
      <c r="AR11" s="312">
        <f t="shared" si="0"/>
        <v>4</v>
      </c>
      <c r="AS11" s="1049" t="str">
        <f>AR11&amp;" "&amp;IF(AU11&lt;&gt;"-",【様式2】職員名簿!B44&amp;"/"&amp;AT11&amp;"/"&amp;AU11,"")</f>
        <v xml:space="preserve">4 </v>
      </c>
      <c r="AT11" s="1049">
        <f>【様式2】職員名簿!E44</f>
        <v>0</v>
      </c>
      <c r="AU11" s="1049" t="str">
        <f>IF(【様式2】職員名簿!J44="エラー","-",【様式2】職員名簿!J44)</f>
        <v>-</v>
      </c>
      <c r="AV11" s="430">
        <f>IF($AT11="常勤",$AM$2,IF($AT11="非常勤",【様式2】職員名簿!G44,0))</f>
        <v>0</v>
      </c>
      <c r="AW11" s="330">
        <f>IF($AU11=AW$3,COUNTIF($AU$8:$AU11,AW$3),0)</f>
        <v>0</v>
      </c>
      <c r="AX11" s="331" t="str">
        <f t="shared" si="1"/>
        <v/>
      </c>
      <c r="AY11" s="332">
        <f>IF($AU11=AY$3,COUNTIF($AU$8:$AU11,AY$3),0)</f>
        <v>0</v>
      </c>
      <c r="AZ11" s="331" t="str">
        <f t="shared" si="2"/>
        <v/>
      </c>
      <c r="BA11" s="332">
        <f>IF($AU11=BA$3,COUNTIFS($AU$8:$AU11,BA$3,$AT$8:$AT11,BA$4),0)</f>
        <v>0</v>
      </c>
      <c r="BB11" s="331" t="str">
        <f t="shared" si="3"/>
        <v/>
      </c>
      <c r="BC11" s="431">
        <f>IF($AU11=BC$3,COUNTIF($AU$8:$AU11,BC$3),0)</f>
        <v>0</v>
      </c>
      <c r="BD11" s="331" t="str">
        <f t="shared" si="4"/>
        <v/>
      </c>
      <c r="BE11" s="312">
        <f>IF(OR($AU11=BE$3,$AU11=BE$4),COUNTIF($AU$8:$AU11,BE$3)+COUNTIF($AU$8:$AU11,BE$4),0)</f>
        <v>0</v>
      </c>
      <c r="BF11" s="331" t="str">
        <f t="shared" si="5"/>
        <v/>
      </c>
      <c r="BG11" s="312">
        <f>IF($AU11=BG$3,COUNTIF($AU$8:$AU11,BG$3),0)</f>
        <v>0</v>
      </c>
      <c r="BH11" s="331" t="str">
        <f t="shared" si="6"/>
        <v/>
      </c>
      <c r="BI11" s="312">
        <f>IF($AU11&lt;&gt;BI$3,COUNTIF($AU$8:$AU11,"&lt;&gt;"&amp;BI$3),0)</f>
        <v>0</v>
      </c>
      <c r="BJ11" s="331" t="str">
        <f t="shared" si="7"/>
        <v/>
      </c>
      <c r="BK11" s="332" t="str">
        <f>【様式2】職員名簿!C32</f>
        <v>その他（委託）</v>
      </c>
      <c r="BL11" s="355" t="str">
        <f>IFERROR(IF(BK11=【様式2】職員名簿!$J32,【様式2】職員名簿!$B32,"×"),"×")</f>
        <v>×</v>
      </c>
      <c r="BM11" s="422">
        <f>【様式2】職員名簿!G32</f>
        <v>0</v>
      </c>
    </row>
    <row r="12" spans="1:66" s="310" customFormat="1" ht="15" customHeight="1" thickTop="1" thickBot="1">
      <c r="A12" s="761" t="s">
        <v>15</v>
      </c>
      <c r="B12" s="2282">
        <f>SUM(B8:C11)</f>
        <v>0</v>
      </c>
      <c r="C12" s="2282"/>
      <c r="D12" s="2606"/>
      <c r="E12" s="2607"/>
      <c r="F12" s="882">
        <f t="shared" ref="F12:N12" si="8">SUM(F8:F11)</f>
        <v>0</v>
      </c>
      <c r="G12" s="883">
        <f t="shared" si="8"/>
        <v>0</v>
      </c>
      <c r="H12" s="883">
        <f t="shared" si="8"/>
        <v>0</v>
      </c>
      <c r="I12" s="883">
        <f t="shared" si="8"/>
        <v>0</v>
      </c>
      <c r="J12" s="883">
        <f t="shared" si="8"/>
        <v>0</v>
      </c>
      <c r="K12" s="883">
        <f t="shared" si="8"/>
        <v>0</v>
      </c>
      <c r="L12" s="884">
        <f t="shared" si="8"/>
        <v>0</v>
      </c>
      <c r="M12" s="774">
        <f t="shared" si="8"/>
        <v>0</v>
      </c>
      <c r="N12" s="775">
        <f t="shared" si="8"/>
        <v>0</v>
      </c>
      <c r="O12" s="823"/>
      <c r="AO12" s="337"/>
      <c r="AP12" s="337"/>
      <c r="AR12" s="312">
        <f t="shared" si="0"/>
        <v>5</v>
      </c>
      <c r="AS12" s="1049" t="str">
        <f>AR12&amp;" "&amp;IF(AU12&lt;&gt;"-",【様式2】職員名簿!B45&amp;"/"&amp;AT12&amp;"/"&amp;AU12,"")</f>
        <v xml:space="preserve">5 </v>
      </c>
      <c r="AT12" s="1049">
        <f>【様式2】職員名簿!E45</f>
        <v>0</v>
      </c>
      <c r="AU12" s="1049" t="str">
        <f>IF(【様式2】職員名簿!J45="エラー","-",【様式2】職員名簿!J45)</f>
        <v>-</v>
      </c>
      <c r="AV12" s="430">
        <f>IF($AT12="常勤",$AM$2,IF($AT12="非常勤",【様式2】職員名簿!G45,0))</f>
        <v>0</v>
      </c>
      <c r="AW12" s="330">
        <f>IF($AU12=AW$3,COUNTIF($AU$8:$AU12,AW$3),0)</f>
        <v>0</v>
      </c>
      <c r="AX12" s="331" t="str">
        <f t="shared" si="1"/>
        <v/>
      </c>
      <c r="AY12" s="332">
        <f>IF($AU12=AY$3,COUNTIF($AU$8:$AU12,AY$3),0)</f>
        <v>0</v>
      </c>
      <c r="AZ12" s="331" t="str">
        <f t="shared" si="2"/>
        <v/>
      </c>
      <c r="BA12" s="332">
        <f>IF($AU12=BA$3,COUNTIFS($AU$8:$AU12,BA$3,$AT$8:$AT12,BA$4),0)</f>
        <v>0</v>
      </c>
      <c r="BB12" s="331" t="str">
        <f t="shared" si="3"/>
        <v/>
      </c>
      <c r="BC12" s="431">
        <f>IF($AU12=BC$3,COUNTIF($AU$8:$AU12,BC$3),0)</f>
        <v>0</v>
      </c>
      <c r="BD12" s="331" t="str">
        <f t="shared" si="4"/>
        <v/>
      </c>
      <c r="BE12" s="312">
        <f>IF(OR($AU12=BE$3,$AU12=BE$4),COUNTIF($AU$8:$AU12,BE$3)+COUNTIF($AU$8:$AU12,BE$4),0)</f>
        <v>0</v>
      </c>
      <c r="BF12" s="331" t="str">
        <f t="shared" si="5"/>
        <v/>
      </c>
      <c r="BG12" s="312">
        <f>IF($AU12=BG$3,COUNTIF($AU$8:$AU12,BG$3),0)</f>
        <v>0</v>
      </c>
      <c r="BH12" s="331" t="str">
        <f t="shared" si="6"/>
        <v/>
      </c>
      <c r="BI12" s="312">
        <f>IF($AU12&lt;&gt;BI$3,COUNTIF($AU$8:$AU12,"&lt;&gt;"&amp;BI$3),0)</f>
        <v>0</v>
      </c>
      <c r="BJ12" s="331" t="str">
        <f t="shared" si="7"/>
        <v/>
      </c>
      <c r="BK12" s="954"/>
      <c r="BL12" s="954"/>
    </row>
    <row r="13" spans="1:66" s="310" customFormat="1" ht="15" customHeight="1">
      <c r="A13" s="2602" t="s">
        <v>148</v>
      </c>
      <c r="B13" s="2281" t="s">
        <v>0</v>
      </c>
      <c r="C13" s="2281"/>
      <c r="D13" s="2610" t="s">
        <v>597</v>
      </c>
      <c r="E13" s="2611"/>
      <c r="F13" s="2611"/>
      <c r="G13" s="2611"/>
      <c r="H13" s="2611"/>
      <c r="I13" s="2611"/>
      <c r="J13" s="2611"/>
      <c r="K13" s="2611"/>
      <c r="L13" s="2611"/>
      <c r="M13" s="2611"/>
      <c r="N13" s="2247" t="s">
        <v>595</v>
      </c>
      <c r="O13" s="505"/>
      <c r="AO13" s="337"/>
      <c r="AP13" s="337"/>
      <c r="AR13" s="312">
        <f t="shared" si="0"/>
        <v>6</v>
      </c>
      <c r="AS13" s="1049" t="str">
        <f>AR13&amp;" "&amp;IF(AU13&lt;&gt;"-",【様式2】職員名簿!B46&amp;"/"&amp;AT13&amp;"/"&amp;AU13,"")</f>
        <v xml:space="preserve">6 </v>
      </c>
      <c r="AT13" s="1049">
        <f>【様式2】職員名簿!E46</f>
        <v>0</v>
      </c>
      <c r="AU13" s="1049" t="str">
        <f>IF(【様式2】職員名簿!J46="エラー","-",【様式2】職員名簿!J46)</f>
        <v>-</v>
      </c>
      <c r="AV13" s="430">
        <f>IF($AT13="常勤",$AM$2,IF($AT13="非常勤",【様式2】職員名簿!G46,0))</f>
        <v>0</v>
      </c>
      <c r="AW13" s="330">
        <f>IF($AU13=AW$3,COUNTIF($AU$8:$AU13,AW$3),0)</f>
        <v>0</v>
      </c>
      <c r="AX13" s="331" t="str">
        <f t="shared" si="1"/>
        <v/>
      </c>
      <c r="AY13" s="332">
        <f>IF($AU13=AY$3,COUNTIF($AU$8:$AU13,AY$3),0)</f>
        <v>0</v>
      </c>
      <c r="AZ13" s="331" t="str">
        <f t="shared" si="2"/>
        <v/>
      </c>
      <c r="BA13" s="332">
        <f>IF($AU13=BA$3,COUNTIFS($AU$8:$AU13,BA$3,$AT$8:$AT13,BA$4),0)</f>
        <v>0</v>
      </c>
      <c r="BB13" s="331" t="str">
        <f t="shared" si="3"/>
        <v/>
      </c>
      <c r="BC13" s="431">
        <f>IF($AU13=BC$3,COUNTIF($AU$8:$AU13,BC$3),0)</f>
        <v>0</v>
      </c>
      <c r="BD13" s="331" t="str">
        <f t="shared" si="4"/>
        <v/>
      </c>
      <c r="BE13" s="312">
        <f>IF(OR($AU13=BE$3,$AU13=BE$4),COUNTIF($AU$8:$AU13,BE$3)+COUNTIF($AU$8:$AU13,BE$4),0)</f>
        <v>0</v>
      </c>
      <c r="BF13" s="331" t="str">
        <f t="shared" si="5"/>
        <v/>
      </c>
      <c r="BG13" s="312">
        <f>IF($AU13=BG$3,COUNTIF($AU$8:$AU13,BG$3),0)</f>
        <v>0</v>
      </c>
      <c r="BH13" s="331" t="str">
        <f t="shared" si="6"/>
        <v/>
      </c>
      <c r="BI13" s="312">
        <f>IF($AU13&lt;&gt;BI$3,COUNTIF($AU$8:$AU13,"&lt;&gt;"&amp;BI$3),0)</f>
        <v>0</v>
      </c>
      <c r="BJ13" s="331" t="str">
        <f t="shared" si="7"/>
        <v/>
      </c>
      <c r="BK13" s="954"/>
      <c r="BL13" s="954"/>
    </row>
    <row r="14" spans="1:66" s="310" customFormat="1" ht="15" customHeight="1" thickBot="1">
      <c r="A14" s="2603"/>
      <c r="B14" s="525" t="s">
        <v>993</v>
      </c>
      <c r="C14" s="524" t="s">
        <v>994</v>
      </c>
      <c r="D14" s="524" t="s">
        <v>596</v>
      </c>
      <c r="E14" s="525" t="s">
        <v>997</v>
      </c>
      <c r="F14" s="869" t="s">
        <v>959</v>
      </c>
      <c r="G14" s="870" t="s">
        <v>960</v>
      </c>
      <c r="H14" s="870" t="s">
        <v>961</v>
      </c>
      <c r="I14" s="870" t="s">
        <v>962</v>
      </c>
      <c r="J14" s="871" t="s">
        <v>963</v>
      </c>
      <c r="K14" s="871" t="s">
        <v>964</v>
      </c>
      <c r="L14" s="872" t="s">
        <v>965</v>
      </c>
      <c r="M14" s="525" t="s">
        <v>15</v>
      </c>
      <c r="N14" s="2072"/>
      <c r="O14" s="505"/>
      <c r="AO14" s="337"/>
      <c r="AP14" s="337"/>
      <c r="AR14" s="312">
        <f t="shared" si="0"/>
        <v>7</v>
      </c>
      <c r="AS14" s="1049" t="str">
        <f>AR14&amp;" "&amp;IF(AU14&lt;&gt;"-",【様式2】職員名簿!B47&amp;"/"&amp;AT14&amp;"/"&amp;AU14,"")</f>
        <v xml:space="preserve">7 </v>
      </c>
      <c r="AT14" s="1049">
        <f>【様式2】職員名簿!E47</f>
        <v>0</v>
      </c>
      <c r="AU14" s="1049" t="str">
        <f>IF(【様式2】職員名簿!J47="エラー","-",【様式2】職員名簿!J47)</f>
        <v>-</v>
      </c>
      <c r="AV14" s="430">
        <f>IF($AT14="常勤",$AM$2,IF($AT14="非常勤",【様式2】職員名簿!G47,0))</f>
        <v>0</v>
      </c>
      <c r="AW14" s="330">
        <f>IF($AU14=AW$3,COUNTIF($AU$8:$AU14,AW$3),0)</f>
        <v>0</v>
      </c>
      <c r="AX14" s="331" t="str">
        <f t="shared" si="1"/>
        <v/>
      </c>
      <c r="AY14" s="332">
        <f>IF($AU14=AY$3,COUNTIF($AU$8:$AU14,AY$3),0)</f>
        <v>0</v>
      </c>
      <c r="AZ14" s="331" t="str">
        <f t="shared" si="2"/>
        <v/>
      </c>
      <c r="BA14" s="332">
        <f>IF($AU14=BA$3,COUNTIFS($AU$8:$AU14,BA$3,$AT$8:$AT14,BA$4),0)</f>
        <v>0</v>
      </c>
      <c r="BB14" s="331" t="str">
        <f t="shared" si="3"/>
        <v/>
      </c>
      <c r="BC14" s="431">
        <f>IF($AU14=BC$3,COUNTIF($AU$8:$AU14,BC$3),0)</f>
        <v>0</v>
      </c>
      <c r="BD14" s="331" t="str">
        <f t="shared" si="4"/>
        <v/>
      </c>
      <c r="BE14" s="312">
        <f>IF(OR($AU14=BE$3,$AU14=BE$4),COUNTIF($AU$8:$AU14,BE$3)+COUNTIF($AU$8:$AU14,BE$4),0)</f>
        <v>0</v>
      </c>
      <c r="BF14" s="331" t="str">
        <f t="shared" si="5"/>
        <v/>
      </c>
      <c r="BG14" s="312">
        <f>IF($AU14=BG$3,COUNTIF($AU$8:$AU14,BG$3),0)</f>
        <v>0</v>
      </c>
      <c r="BH14" s="331" t="str">
        <f t="shared" si="6"/>
        <v/>
      </c>
      <c r="BI14" s="312">
        <f>IF($AU14&lt;&gt;BI$3,COUNTIF($AU$8:$AU14,"&lt;&gt;"&amp;BI$3),0)</f>
        <v>0</v>
      </c>
      <c r="BJ14" s="331" t="str">
        <f t="shared" si="7"/>
        <v/>
      </c>
      <c r="BK14" s="954"/>
      <c r="BL14" s="954"/>
    </row>
    <row r="15" spans="1:66" s="310" customFormat="1" ht="15" customHeight="1">
      <c r="A15" s="2598" t="s">
        <v>125</v>
      </c>
      <c r="B15" s="2612" t="s">
        <v>925</v>
      </c>
      <c r="C15" s="2400">
        <f>【様式１】総括表・個票!M15</f>
        <v>0</v>
      </c>
      <c r="D15" s="1809" t="s">
        <v>594</v>
      </c>
      <c r="E15" s="521" t="s">
        <v>995</v>
      </c>
      <c r="F15" s="885" t="s">
        <v>874</v>
      </c>
      <c r="G15" s="875" t="s">
        <v>874</v>
      </c>
      <c r="H15" s="875" t="s">
        <v>874</v>
      </c>
      <c r="I15" s="875" t="s">
        <v>874</v>
      </c>
      <c r="J15" s="874"/>
      <c r="K15" s="874"/>
      <c r="L15" s="886"/>
      <c r="M15" s="513">
        <f>SUM(F15:L15)</f>
        <v>0</v>
      </c>
      <c r="N15" s="513">
        <f>SUM(M15,M17)</f>
        <v>0</v>
      </c>
      <c r="O15" s="823"/>
      <c r="AO15" s="337"/>
      <c r="AP15" s="337"/>
      <c r="AR15" s="312">
        <f t="shared" si="0"/>
        <v>8</v>
      </c>
      <c r="AS15" s="1049" t="str">
        <f>AR15&amp;" "&amp;IF(AU15&lt;&gt;"-",【様式2】職員名簿!B48&amp;"/"&amp;AT15&amp;"/"&amp;AU15,"")</f>
        <v xml:space="preserve">8 </v>
      </c>
      <c r="AT15" s="1049">
        <f>【様式2】職員名簿!E48</f>
        <v>0</v>
      </c>
      <c r="AU15" s="1049" t="str">
        <f>IF(【様式2】職員名簿!J48="エラー","-",【様式2】職員名簿!J48)</f>
        <v>-</v>
      </c>
      <c r="AV15" s="430">
        <f>IF($AT15="常勤",$AM$2,IF($AT15="非常勤",【様式2】職員名簿!G48,0))</f>
        <v>0</v>
      </c>
      <c r="AW15" s="330">
        <f>IF($AU15=AW$3,COUNTIF($AU$8:$AU15,AW$3),0)</f>
        <v>0</v>
      </c>
      <c r="AX15" s="331" t="str">
        <f t="shared" si="1"/>
        <v/>
      </c>
      <c r="AY15" s="332">
        <f>IF($AU15=AY$3,COUNTIF($AU$8:$AU15,AY$3),0)</f>
        <v>0</v>
      </c>
      <c r="AZ15" s="331" t="str">
        <f t="shared" si="2"/>
        <v/>
      </c>
      <c r="BA15" s="332">
        <f>IF($AU15=BA$3,COUNTIFS($AU$8:$AU15,BA$3,$AT$8:$AT15,BA$4),0)</f>
        <v>0</v>
      </c>
      <c r="BB15" s="331" t="str">
        <f t="shared" si="3"/>
        <v/>
      </c>
      <c r="BC15" s="431">
        <f>IF($AU15=BC$3,COUNTIF($AU$8:$AU15,BC$3),0)</f>
        <v>0</v>
      </c>
      <c r="BD15" s="331" t="str">
        <f t="shared" si="4"/>
        <v/>
      </c>
      <c r="BE15" s="312">
        <f>IF(OR($AU15=BE$3,$AU15=BE$4),COUNTIF($AU$8:$AU15,BE$3)+COUNTIF($AU$8:$AU15,BE$4),0)</f>
        <v>0</v>
      </c>
      <c r="BF15" s="331" t="str">
        <f t="shared" si="5"/>
        <v/>
      </c>
      <c r="BG15" s="312">
        <f>IF($AU15=BG$3,COUNTIF($AU$8:$AU15,BG$3),0)</f>
        <v>0</v>
      </c>
      <c r="BH15" s="331" t="str">
        <f t="shared" si="6"/>
        <v/>
      </c>
      <c r="BI15" s="312">
        <f>IF($AU15&lt;&gt;BI$3,COUNTIF($AU$8:$AU15,"&lt;&gt;"&amp;BI$3),0)</f>
        <v>0</v>
      </c>
      <c r="BJ15" s="331" t="str">
        <f t="shared" si="7"/>
        <v/>
      </c>
      <c r="BK15" s="954"/>
      <c r="BL15" s="954"/>
    </row>
    <row r="16" spans="1:66" s="310" customFormat="1" ht="15" customHeight="1">
      <c r="A16" s="2598"/>
      <c r="B16" s="2612"/>
      <c r="C16" s="2400"/>
      <c r="D16" s="1699"/>
      <c r="E16" s="522" t="s">
        <v>996</v>
      </c>
      <c r="F16" s="887" t="s">
        <v>874</v>
      </c>
      <c r="G16" s="888" t="s">
        <v>874</v>
      </c>
      <c r="H16" s="888" t="s">
        <v>874</v>
      </c>
      <c r="I16" s="888" t="s">
        <v>874</v>
      </c>
      <c r="J16" s="889"/>
      <c r="K16" s="889"/>
      <c r="L16" s="890"/>
      <c r="M16" s="514">
        <f t="shared" ref="M16:M18" si="9">SUM(F16:L16)</f>
        <v>0</v>
      </c>
      <c r="N16" s="514">
        <f>SUM(M16,M18)</f>
        <v>0</v>
      </c>
      <c r="O16" s="823"/>
      <c r="AO16" s="333"/>
      <c r="AP16" s="333"/>
      <c r="AR16" s="312">
        <f t="shared" si="0"/>
        <v>9</v>
      </c>
      <c r="AS16" s="1049" t="str">
        <f>AR16&amp;" "&amp;IF(AU16&lt;&gt;"-",【様式2】職員名簿!B49&amp;"/"&amp;AT16&amp;"/"&amp;AU16,"")</f>
        <v xml:space="preserve">9 </v>
      </c>
      <c r="AT16" s="1049">
        <f>【様式2】職員名簿!E49</f>
        <v>0</v>
      </c>
      <c r="AU16" s="1049" t="str">
        <f>IF(【様式2】職員名簿!J49="エラー","-",【様式2】職員名簿!J49)</f>
        <v>-</v>
      </c>
      <c r="AV16" s="430">
        <f>IF($AT16="常勤",$AM$2,IF($AT16="非常勤",【様式2】職員名簿!G49,0))</f>
        <v>0</v>
      </c>
      <c r="AW16" s="330">
        <f>IF($AU16=AW$3,COUNTIF($AU$8:$AU16,AW$3),0)</f>
        <v>0</v>
      </c>
      <c r="AX16" s="331" t="str">
        <f t="shared" si="1"/>
        <v/>
      </c>
      <c r="AY16" s="332">
        <f>IF($AU16=AY$3,COUNTIF($AU$8:$AU16,AY$3),0)</f>
        <v>0</v>
      </c>
      <c r="AZ16" s="331" t="str">
        <f t="shared" si="2"/>
        <v/>
      </c>
      <c r="BA16" s="332">
        <f>IF($AU16=BA$3,COUNTIFS($AU$8:$AU16,BA$3,$AT$8:$AT16,BA$4),0)</f>
        <v>0</v>
      </c>
      <c r="BB16" s="331" t="str">
        <f t="shared" si="3"/>
        <v/>
      </c>
      <c r="BC16" s="431">
        <f>IF($AU16=BC$3,COUNTIF($AU$8:$AU16,BC$3),0)</f>
        <v>0</v>
      </c>
      <c r="BD16" s="331" t="str">
        <f t="shared" si="4"/>
        <v/>
      </c>
      <c r="BE16" s="312">
        <f>IF(OR($AU16=BE$3,$AU16=BE$4),COUNTIF($AU$8:$AU16,BE$3)+COUNTIF($AU$8:$AU16,BE$4),0)</f>
        <v>0</v>
      </c>
      <c r="BF16" s="331" t="str">
        <f t="shared" si="5"/>
        <v/>
      </c>
      <c r="BG16" s="312">
        <f>IF($AU16=BG$3,COUNTIF($AU$8:$AU16,BG$3),0)</f>
        <v>0</v>
      </c>
      <c r="BH16" s="331" t="str">
        <f t="shared" si="6"/>
        <v/>
      </c>
      <c r="BI16" s="312">
        <f>IF($AU16&lt;&gt;BI$3,COUNTIF($AU$8:$AU16,"&lt;&gt;"&amp;BI$3),0)</f>
        <v>0</v>
      </c>
      <c r="BJ16" s="331" t="str">
        <f t="shared" si="7"/>
        <v/>
      </c>
      <c r="BK16" s="954"/>
      <c r="BL16" s="954"/>
    </row>
    <row r="17" spans="1:64" s="310" customFormat="1" ht="15" customHeight="1">
      <c r="A17" s="2598"/>
      <c r="B17" s="2612"/>
      <c r="C17" s="2400"/>
      <c r="D17" s="1500" t="s">
        <v>598</v>
      </c>
      <c r="E17" s="523" t="s">
        <v>995</v>
      </c>
      <c r="F17" s="891" t="s">
        <v>874</v>
      </c>
      <c r="G17" s="881" t="s">
        <v>874</v>
      </c>
      <c r="H17" s="881" t="s">
        <v>874</v>
      </c>
      <c r="I17" s="881" t="s">
        <v>874</v>
      </c>
      <c r="J17" s="880"/>
      <c r="K17" s="880"/>
      <c r="L17" s="892"/>
      <c r="M17" s="515">
        <f>SUM(F17:L17)</f>
        <v>0</v>
      </c>
      <c r="N17" s="516" t="s">
        <v>873</v>
      </c>
      <c r="O17" s="823"/>
      <c r="AL17" s="334"/>
      <c r="AO17" s="333"/>
      <c r="AP17" s="333"/>
      <c r="AR17" s="312">
        <f t="shared" si="0"/>
        <v>10</v>
      </c>
      <c r="AS17" s="1049" t="str">
        <f>AR17&amp;" "&amp;IF(AU17&lt;&gt;"-",【様式2】職員名簿!B50&amp;"/"&amp;AT17&amp;"/"&amp;AU17,"")</f>
        <v xml:space="preserve">10 </v>
      </c>
      <c r="AT17" s="1049">
        <f>【様式2】職員名簿!E50</f>
        <v>0</v>
      </c>
      <c r="AU17" s="1049" t="str">
        <f>IF(【様式2】職員名簿!J50="エラー","-",【様式2】職員名簿!J50)</f>
        <v>-</v>
      </c>
      <c r="AV17" s="430">
        <f>IF($AT17="常勤",$AM$2,IF($AT17="非常勤",【様式2】職員名簿!G50,0))</f>
        <v>0</v>
      </c>
      <c r="AW17" s="330">
        <f>IF($AU17=AW$3,COUNTIF($AU$8:$AU17,AW$3),0)</f>
        <v>0</v>
      </c>
      <c r="AX17" s="331" t="str">
        <f t="shared" si="1"/>
        <v/>
      </c>
      <c r="AY17" s="332">
        <f>IF($AU17=AY$3,COUNTIF($AU$8:$AU17,AY$3),0)</f>
        <v>0</v>
      </c>
      <c r="AZ17" s="331" t="str">
        <f t="shared" si="2"/>
        <v/>
      </c>
      <c r="BA17" s="332">
        <f>IF($AU17=BA$3,COUNTIFS($AU$8:$AU17,BA$3,$AT$8:$AT17,BA$4),0)</f>
        <v>0</v>
      </c>
      <c r="BB17" s="331" t="str">
        <f t="shared" si="3"/>
        <v/>
      </c>
      <c r="BC17" s="431">
        <f>IF($AU17=BC$3,COUNTIF($AU$8:$AU17,BC$3),0)</f>
        <v>0</v>
      </c>
      <c r="BD17" s="331" t="str">
        <f t="shared" si="4"/>
        <v/>
      </c>
      <c r="BE17" s="312">
        <f>IF(OR($AU17=BE$3,$AU17=BE$4),COUNTIF($AU$8:$AU17,BE$3)+COUNTIF($AU$8:$AU17,BE$4),0)</f>
        <v>0</v>
      </c>
      <c r="BF17" s="331" t="str">
        <f t="shared" si="5"/>
        <v/>
      </c>
      <c r="BG17" s="312">
        <f>IF($AU17=BG$3,COUNTIF($AU$8:$AU17,BG$3),0)</f>
        <v>0</v>
      </c>
      <c r="BH17" s="331" t="str">
        <f t="shared" si="6"/>
        <v/>
      </c>
      <c r="BI17" s="312">
        <f>IF($AU17&lt;&gt;BI$3,COUNTIF($AU$8:$AU17,"&lt;&gt;"&amp;BI$3),0)</f>
        <v>0</v>
      </c>
      <c r="BJ17" s="331" t="str">
        <f t="shared" si="7"/>
        <v/>
      </c>
      <c r="BK17" s="954"/>
      <c r="BL17" s="954"/>
    </row>
    <row r="18" spans="1:64" s="310" customFormat="1" ht="15" customHeight="1">
      <c r="A18" s="2599"/>
      <c r="B18" s="2612"/>
      <c r="C18" s="2400"/>
      <c r="D18" s="1699"/>
      <c r="E18" s="522" t="s">
        <v>996</v>
      </c>
      <c r="F18" s="887" t="s">
        <v>874</v>
      </c>
      <c r="G18" s="888" t="s">
        <v>874</v>
      </c>
      <c r="H18" s="888" t="s">
        <v>874</v>
      </c>
      <c r="I18" s="888" t="s">
        <v>874</v>
      </c>
      <c r="J18" s="889"/>
      <c r="K18" s="889"/>
      <c r="L18" s="890"/>
      <c r="M18" s="514">
        <f t="shared" si="9"/>
        <v>0</v>
      </c>
      <c r="N18" s="517" t="s">
        <v>873</v>
      </c>
      <c r="O18" s="823"/>
      <c r="AL18" s="334"/>
      <c r="AO18" s="333"/>
      <c r="AP18" s="333"/>
      <c r="AR18" s="312">
        <f t="shared" si="0"/>
        <v>11</v>
      </c>
      <c r="AS18" s="1049" t="str">
        <f>AR18&amp;" "&amp;IF(AU18&lt;&gt;"-",【様式2】職員名簿!B51&amp;"/"&amp;AT18&amp;"/"&amp;AU18,"")</f>
        <v xml:space="preserve">11 </v>
      </c>
      <c r="AT18" s="1049">
        <f>【様式2】職員名簿!E51</f>
        <v>0</v>
      </c>
      <c r="AU18" s="1049" t="str">
        <f>IF(【様式2】職員名簿!J51="エラー","-",【様式2】職員名簿!J51)</f>
        <v>-</v>
      </c>
      <c r="AV18" s="430">
        <f>IF($AT18="常勤",$AM$2,IF($AT18="非常勤",【様式2】職員名簿!G51,0))</f>
        <v>0</v>
      </c>
      <c r="AW18" s="330">
        <f>IF($AU18=AW$3,COUNTIF($AU$8:$AU18,AW$3),0)</f>
        <v>0</v>
      </c>
      <c r="AX18" s="331" t="str">
        <f t="shared" si="1"/>
        <v/>
      </c>
      <c r="AY18" s="332">
        <f>IF($AU18=AY$3,COUNTIF($AU$8:$AU18,AY$3),0)</f>
        <v>0</v>
      </c>
      <c r="AZ18" s="331" t="str">
        <f t="shared" si="2"/>
        <v/>
      </c>
      <c r="BA18" s="332">
        <f>IF($AU18=BA$3,COUNTIFS($AU$8:$AU18,BA$3,$AT$8:$AT18,BA$4),0)</f>
        <v>0</v>
      </c>
      <c r="BB18" s="331" t="str">
        <f t="shared" si="3"/>
        <v/>
      </c>
      <c r="BC18" s="431">
        <f>IF($AU18=BC$3,COUNTIF($AU$8:$AU18,BC$3),0)</f>
        <v>0</v>
      </c>
      <c r="BD18" s="331" t="str">
        <f t="shared" si="4"/>
        <v/>
      </c>
      <c r="BE18" s="312">
        <f>IF(OR($AU18=BE$3,$AU18=BE$4),COUNTIF($AU$8:$AU18,BE$3)+COUNTIF($AU$8:$AU18,BE$4),0)</f>
        <v>0</v>
      </c>
      <c r="BF18" s="331" t="str">
        <f t="shared" si="5"/>
        <v/>
      </c>
      <c r="BG18" s="312">
        <f>IF($AU18=BG$3,COUNTIF($AU$8:$AU18,BG$3),0)</f>
        <v>0</v>
      </c>
      <c r="BH18" s="331" t="str">
        <f t="shared" si="6"/>
        <v/>
      </c>
      <c r="BI18" s="312">
        <f>IF($AU18&lt;&gt;BI$3,COUNTIF($AU$8:$AU18,"&lt;&gt;"&amp;BI$3),0)</f>
        <v>0</v>
      </c>
      <c r="BJ18" s="331" t="str">
        <f t="shared" si="7"/>
        <v/>
      </c>
      <c r="BK18" s="954"/>
      <c r="BL18" s="954"/>
    </row>
    <row r="19" spans="1:64" s="310" customFormat="1" ht="15" customHeight="1">
      <c r="A19" s="963" t="s">
        <v>15</v>
      </c>
      <c r="B19" s="2282">
        <f>SUM(C15)</f>
        <v>0</v>
      </c>
      <c r="C19" s="2282"/>
      <c r="D19" s="2604"/>
      <c r="E19" s="2604"/>
      <c r="F19" s="893">
        <f>SUM(F15:F18)</f>
        <v>0</v>
      </c>
      <c r="G19" s="894">
        <f t="shared" ref="G19:L19" si="10">SUM(G15:G18)</f>
        <v>0</v>
      </c>
      <c r="H19" s="894">
        <f t="shared" si="10"/>
        <v>0</v>
      </c>
      <c r="I19" s="894">
        <f>SUM(I15:I18)</f>
        <v>0</v>
      </c>
      <c r="J19" s="894">
        <f t="shared" si="10"/>
        <v>0</v>
      </c>
      <c r="K19" s="894">
        <f t="shared" si="10"/>
        <v>0</v>
      </c>
      <c r="L19" s="895">
        <f t="shared" si="10"/>
        <v>0</v>
      </c>
      <c r="M19" s="518">
        <f>SUM(M15:M18)</f>
        <v>0</v>
      </c>
      <c r="N19" s="519">
        <f>SUM(N15:N18)</f>
        <v>0</v>
      </c>
      <c r="O19" s="823"/>
      <c r="AL19" s="334"/>
      <c r="AR19" s="312">
        <f t="shared" si="0"/>
        <v>12</v>
      </c>
      <c r="AS19" s="1049" t="str">
        <f>AR19&amp;" "&amp;IF(AU19&lt;&gt;"-",【様式2】職員名簿!B52&amp;"/"&amp;AT19&amp;"/"&amp;AU19,"")</f>
        <v xml:space="preserve">12 </v>
      </c>
      <c r="AT19" s="1049">
        <f>【様式2】職員名簿!E52</f>
        <v>0</v>
      </c>
      <c r="AU19" s="1049" t="str">
        <f>IF(【様式2】職員名簿!J52="エラー","-",【様式2】職員名簿!J52)</f>
        <v>-</v>
      </c>
      <c r="AV19" s="430">
        <f>IF($AT19="常勤",$AM$2,IF($AT19="非常勤",【様式2】職員名簿!G52,0))</f>
        <v>0</v>
      </c>
      <c r="AW19" s="330">
        <f>IF($AU19=AW$3,COUNTIF($AU$8:$AU19,AW$3),0)</f>
        <v>0</v>
      </c>
      <c r="AX19" s="331" t="str">
        <f t="shared" si="1"/>
        <v/>
      </c>
      <c r="AY19" s="332">
        <f>IF($AU19=AY$3,COUNTIF($AU$8:$AU19,AY$3),0)</f>
        <v>0</v>
      </c>
      <c r="AZ19" s="331" t="str">
        <f t="shared" si="2"/>
        <v/>
      </c>
      <c r="BA19" s="332">
        <f>IF($AU19=BA$3,COUNTIFS($AU$8:$AU19,BA$3,$AT$8:$AT19,BA$4),0)</f>
        <v>0</v>
      </c>
      <c r="BB19" s="331" t="str">
        <f t="shared" si="3"/>
        <v/>
      </c>
      <c r="BC19" s="431">
        <f>IF($AU19=BC$3,COUNTIF($AU$8:$AU19,BC$3),0)</f>
        <v>0</v>
      </c>
      <c r="BD19" s="331" t="str">
        <f t="shared" si="4"/>
        <v/>
      </c>
      <c r="BE19" s="312">
        <f>IF(OR($AU19=BE$3,$AU19=BE$4),COUNTIF($AU$8:$AU19,BE$3)+COUNTIF($AU$8:$AU19,BE$4),0)</f>
        <v>0</v>
      </c>
      <c r="BF19" s="331" t="str">
        <f t="shared" si="5"/>
        <v/>
      </c>
      <c r="BG19" s="312">
        <f>IF($AU19=BG$3,COUNTIF($AU$8:$AU19,BG$3),0)</f>
        <v>0</v>
      </c>
      <c r="BH19" s="331" t="str">
        <f t="shared" si="6"/>
        <v/>
      </c>
      <c r="BI19" s="312">
        <f>IF($AU19&lt;&gt;BI$3,COUNTIF($AU$8:$AU19,"&lt;&gt;"&amp;BI$3),0)</f>
        <v>0</v>
      </c>
      <c r="BJ19" s="331" t="str">
        <f t="shared" si="7"/>
        <v/>
      </c>
      <c r="BK19" s="954"/>
      <c r="BL19" s="954"/>
    </row>
    <row r="20" spans="1:64" s="310" customFormat="1" ht="15" customHeight="1">
      <c r="A20" s="776" t="s">
        <v>149</v>
      </c>
      <c r="B20" s="2282">
        <f>SUM(B12,B19)</f>
        <v>0</v>
      </c>
      <c r="C20" s="2282"/>
      <c r="D20" s="2605"/>
      <c r="E20" s="2605"/>
      <c r="F20" s="896">
        <f t="shared" ref="F20:N20" si="11">SUM(F12,F19)</f>
        <v>0</v>
      </c>
      <c r="G20" s="897">
        <f t="shared" si="11"/>
        <v>0</v>
      </c>
      <c r="H20" s="897">
        <f t="shared" si="11"/>
        <v>0</v>
      </c>
      <c r="I20" s="897">
        <f t="shared" si="11"/>
        <v>0</v>
      </c>
      <c r="J20" s="897">
        <f t="shared" si="11"/>
        <v>0</v>
      </c>
      <c r="K20" s="897">
        <f t="shared" si="11"/>
        <v>0</v>
      </c>
      <c r="L20" s="898">
        <f t="shared" si="11"/>
        <v>0</v>
      </c>
      <c r="M20" s="485">
        <f t="shared" si="11"/>
        <v>0</v>
      </c>
      <c r="N20" s="485">
        <f t="shared" si="11"/>
        <v>0</v>
      </c>
      <c r="O20" s="505"/>
      <c r="AR20" s="312">
        <f t="shared" si="0"/>
        <v>13</v>
      </c>
      <c r="AS20" s="1049" t="str">
        <f>AR20&amp;" "&amp;IF(AU20&lt;&gt;"-",【様式2】職員名簿!B53&amp;"/"&amp;AT20&amp;"/"&amp;AU20,"")</f>
        <v xml:space="preserve">13 </v>
      </c>
      <c r="AT20" s="1049">
        <f>【様式2】職員名簿!E53</f>
        <v>0</v>
      </c>
      <c r="AU20" s="1049" t="str">
        <f>IF(【様式2】職員名簿!J53="エラー","-",【様式2】職員名簿!J53)</f>
        <v>-</v>
      </c>
      <c r="AV20" s="430">
        <f>IF($AT20="常勤",$AM$2,IF($AT20="非常勤",【様式2】職員名簿!G53,0))</f>
        <v>0</v>
      </c>
      <c r="AW20" s="330">
        <f>IF($AU20=AW$3,COUNTIF($AU$8:$AU20,AW$3),0)</f>
        <v>0</v>
      </c>
      <c r="AX20" s="331" t="str">
        <f t="shared" si="1"/>
        <v/>
      </c>
      <c r="AY20" s="332">
        <f>IF($AU20=AY$3,COUNTIF($AU$8:$AU20,AY$3),0)</f>
        <v>0</v>
      </c>
      <c r="AZ20" s="331" t="str">
        <f t="shared" si="2"/>
        <v/>
      </c>
      <c r="BA20" s="332">
        <f>IF($AU20=BA$3,COUNTIFS($AU$8:$AU20,BA$3,$AT$8:$AT20,BA$4),0)</f>
        <v>0</v>
      </c>
      <c r="BB20" s="331" t="str">
        <f t="shared" si="3"/>
        <v/>
      </c>
      <c r="BC20" s="431">
        <f>IF($AU20=BC$3,COUNTIF($AU$8:$AU20,BC$3),0)</f>
        <v>0</v>
      </c>
      <c r="BD20" s="331" t="str">
        <f t="shared" si="4"/>
        <v/>
      </c>
      <c r="BE20" s="312">
        <f>IF(OR($AU20=BE$3,$AU20=BE$4),COUNTIF($AU$8:$AU20,BE$3)+COUNTIF($AU$8:$AU20,BE$4),0)</f>
        <v>0</v>
      </c>
      <c r="BF20" s="331" t="str">
        <f t="shared" si="5"/>
        <v/>
      </c>
      <c r="BG20" s="312">
        <f>IF($AU20=BG$3,COUNTIF($AU$8:$AU20,BG$3),0)</f>
        <v>0</v>
      </c>
      <c r="BH20" s="331" t="str">
        <f t="shared" si="6"/>
        <v/>
      </c>
      <c r="BI20" s="312">
        <f>IF($AU20&lt;&gt;BI$3,COUNTIF($AU$8:$AU20,"&lt;&gt;"&amp;BI$3),0)</f>
        <v>0</v>
      </c>
      <c r="BJ20" s="331" t="str">
        <f t="shared" si="7"/>
        <v/>
      </c>
      <c r="BK20" s="954"/>
      <c r="BL20" s="954"/>
    </row>
    <row r="21" spans="1:64" s="310" customFormat="1" ht="15" customHeight="1">
      <c r="A21" s="962"/>
      <c r="B21" s="505"/>
      <c r="C21" s="505"/>
      <c r="D21" s="520"/>
      <c r="E21" s="520"/>
      <c r="F21" s="520"/>
      <c r="G21" s="520"/>
      <c r="H21" s="962"/>
      <c r="I21" s="520"/>
      <c r="J21" s="511"/>
      <c r="K21" s="511"/>
      <c r="L21" s="511"/>
      <c r="M21" s="511"/>
      <c r="N21" s="505"/>
      <c r="O21" s="505"/>
      <c r="Q21" s="333"/>
      <c r="R21" s="333"/>
      <c r="S21" s="333"/>
      <c r="T21" s="333"/>
      <c r="U21" s="333"/>
      <c r="V21" s="333"/>
      <c r="W21" s="333"/>
      <c r="X21" s="333"/>
      <c r="Y21" s="333"/>
      <c r="Z21" s="333"/>
      <c r="AA21" s="333"/>
      <c r="AB21" s="333"/>
      <c r="AC21" s="333"/>
      <c r="AD21" s="333"/>
      <c r="AE21" s="333"/>
      <c r="AF21" s="333"/>
      <c r="AG21" s="333"/>
      <c r="AH21" s="333"/>
      <c r="AI21" s="333"/>
      <c r="AJ21" s="333"/>
      <c r="AR21" s="312">
        <f t="shared" si="0"/>
        <v>14</v>
      </c>
      <c r="AS21" s="1049" t="str">
        <f>AR21&amp;" "&amp;IF(AU21&lt;&gt;"-",【様式2】職員名簿!B54&amp;"/"&amp;AT21&amp;"/"&amp;AU21,"")</f>
        <v xml:space="preserve">14 </v>
      </c>
      <c r="AT21" s="1049">
        <f>【様式2】職員名簿!E54</f>
        <v>0</v>
      </c>
      <c r="AU21" s="1049" t="str">
        <f>IF(【様式2】職員名簿!J54="エラー","-",【様式2】職員名簿!J54)</f>
        <v>-</v>
      </c>
      <c r="AV21" s="430">
        <f>IF($AT21="常勤",$AM$2,IF($AT21="非常勤",【様式2】職員名簿!G54,0))</f>
        <v>0</v>
      </c>
      <c r="AW21" s="330">
        <f>IF($AU21=AW$3,COUNTIF($AU$8:$AU21,AW$3),0)</f>
        <v>0</v>
      </c>
      <c r="AX21" s="331" t="str">
        <f t="shared" si="1"/>
        <v/>
      </c>
      <c r="AY21" s="332">
        <f>IF($AU21=AY$3,COUNTIF($AU$8:$AU21,AY$3),0)</f>
        <v>0</v>
      </c>
      <c r="AZ21" s="331" t="str">
        <f t="shared" si="2"/>
        <v/>
      </c>
      <c r="BA21" s="332">
        <f>IF($AU21=BA$3,COUNTIFS($AU$8:$AU21,BA$3,$AT$8:$AT21,BA$4),0)</f>
        <v>0</v>
      </c>
      <c r="BB21" s="331" t="str">
        <f t="shared" si="3"/>
        <v/>
      </c>
      <c r="BC21" s="431">
        <f>IF($AU21=BC$3,COUNTIF($AU$8:$AU21,BC$3),0)</f>
        <v>0</v>
      </c>
      <c r="BD21" s="331" t="str">
        <f t="shared" si="4"/>
        <v/>
      </c>
      <c r="BE21" s="312">
        <f>IF(OR($AU21=BE$3,$AU21=BE$4),COUNTIF($AU$8:$AU21,BE$3)+COUNTIF($AU$8:$AU21,BE$4),0)</f>
        <v>0</v>
      </c>
      <c r="BF21" s="331" t="str">
        <f t="shared" si="5"/>
        <v/>
      </c>
      <c r="BG21" s="312">
        <f>IF($AU21=BG$3,COUNTIF($AU$8:$AU21,BG$3),0)</f>
        <v>0</v>
      </c>
      <c r="BH21" s="331" t="str">
        <f t="shared" si="6"/>
        <v/>
      </c>
      <c r="BI21" s="312">
        <f>IF($AU21&lt;&gt;BI$3,COUNTIF($AU$8:$AU21,"&lt;&gt;"&amp;BI$3),0)</f>
        <v>0</v>
      </c>
      <c r="BJ21" s="331" t="str">
        <f t="shared" si="7"/>
        <v/>
      </c>
      <c r="BK21" s="954"/>
      <c r="BL21" s="954"/>
    </row>
    <row r="22" spans="1:64" s="310" customFormat="1" ht="15" customHeight="1" thickBot="1">
      <c r="A22" s="504" t="s">
        <v>1105</v>
      </c>
      <c r="B22" s="505"/>
      <c r="C22" s="512"/>
      <c r="D22" s="512"/>
      <c r="E22" s="512"/>
      <c r="F22" s="512"/>
      <c r="G22" s="512"/>
      <c r="H22" s="512"/>
      <c r="I22" s="512"/>
      <c r="J22" s="512"/>
      <c r="K22" s="505"/>
      <c r="L22" s="512"/>
      <c r="M22" s="948"/>
      <c r="N22" s="512"/>
      <c r="O22" s="512"/>
      <c r="P22" s="334"/>
      <c r="Q22" s="574"/>
      <c r="R22" s="574"/>
      <c r="S22" s="574"/>
      <c r="T22" s="574"/>
      <c r="U22" s="440"/>
      <c r="V22" s="440"/>
      <c r="W22" s="440"/>
      <c r="X22" s="440"/>
      <c r="Y22" s="440"/>
      <c r="Z22" s="440"/>
      <c r="AA22" s="440"/>
      <c r="AB22" s="440"/>
      <c r="AC22" s="440"/>
      <c r="AD22" s="440"/>
      <c r="AE22" s="440"/>
      <c r="AF22" s="440"/>
      <c r="AG22" s="440"/>
      <c r="AH22" s="440"/>
      <c r="AI22" s="440"/>
      <c r="AJ22" s="440"/>
      <c r="AK22" s="334"/>
      <c r="AR22" s="312">
        <f t="shared" si="0"/>
        <v>15</v>
      </c>
      <c r="AS22" s="1049" t="str">
        <f>AR22&amp;" "&amp;IF(AU22&lt;&gt;"-",【様式2】職員名簿!B55&amp;"/"&amp;AT22&amp;"/"&amp;AU22,"")</f>
        <v xml:space="preserve">15 </v>
      </c>
      <c r="AT22" s="1049">
        <f>【様式2】職員名簿!E55</f>
        <v>0</v>
      </c>
      <c r="AU22" s="1049" t="str">
        <f>IF(【様式2】職員名簿!J55="エラー","-",【様式2】職員名簿!J55)</f>
        <v>-</v>
      </c>
      <c r="AV22" s="430">
        <f>IF($AT22="常勤",$AM$2,IF($AT22="非常勤",【様式2】職員名簿!G55,0))</f>
        <v>0</v>
      </c>
      <c r="AW22" s="330">
        <f>IF($AU22=AW$3,COUNTIF($AU$8:$AU22,AW$3),0)</f>
        <v>0</v>
      </c>
      <c r="AX22" s="331" t="str">
        <f t="shared" si="1"/>
        <v/>
      </c>
      <c r="AY22" s="332">
        <f>IF($AU22=AY$3,COUNTIF($AU$8:$AU22,AY$3),0)</f>
        <v>0</v>
      </c>
      <c r="AZ22" s="331" t="str">
        <f t="shared" si="2"/>
        <v/>
      </c>
      <c r="BA22" s="332">
        <f>IF($AU22=BA$3,COUNTIFS($AU$8:$AU22,BA$3,$AT$8:$AT22,BA$4),0)</f>
        <v>0</v>
      </c>
      <c r="BB22" s="331" t="str">
        <f t="shared" si="3"/>
        <v/>
      </c>
      <c r="BC22" s="431">
        <f>IF($AU22=BC$3,COUNTIF($AU$8:$AU22,BC$3),0)</f>
        <v>0</v>
      </c>
      <c r="BD22" s="331" t="str">
        <f t="shared" si="4"/>
        <v/>
      </c>
      <c r="BE22" s="312">
        <f>IF(OR($AU22=BE$3,$AU22=BE$4),COUNTIF($AU$8:$AU22,BE$3)+COUNTIF($AU$8:$AU22,BE$4),0)</f>
        <v>0</v>
      </c>
      <c r="BF22" s="331" t="str">
        <f t="shared" si="5"/>
        <v/>
      </c>
      <c r="BG22" s="312">
        <f>IF($AU22=BG$3,COUNTIF($AU$8:$AU22,BG$3),0)</f>
        <v>0</v>
      </c>
      <c r="BH22" s="331" t="str">
        <f t="shared" si="6"/>
        <v/>
      </c>
      <c r="BI22" s="312">
        <f>IF($AU22&lt;&gt;BI$3,COUNTIF($AU$8:$AU22,"&lt;&gt;"&amp;BI$3),0)</f>
        <v>0</v>
      </c>
      <c r="BJ22" s="331" t="str">
        <f t="shared" si="7"/>
        <v/>
      </c>
      <c r="BK22" s="954"/>
      <c r="BL22" s="954"/>
    </row>
    <row r="23" spans="1:64" s="310" customFormat="1" ht="15" customHeight="1">
      <c r="A23" s="2403" t="s">
        <v>99</v>
      </c>
      <c r="B23" s="2404"/>
      <c r="C23" s="2405"/>
      <c r="D23" s="2440" t="s">
        <v>1084</v>
      </c>
      <c r="E23" s="2441"/>
      <c r="F23" s="2441"/>
      <c r="G23" s="2441"/>
      <c r="H23" s="2441"/>
      <c r="I23" s="2441"/>
      <c r="J23" s="2441"/>
      <c r="K23" s="2441"/>
      <c r="L23" s="2441"/>
      <c r="M23" s="2442"/>
      <c r="N23" s="2429" t="s">
        <v>869</v>
      </c>
      <c r="O23" s="2471"/>
      <c r="P23" s="322"/>
      <c r="Q23" s="2472" t="s">
        <v>798</v>
      </c>
      <c r="R23" s="2473"/>
      <c r="S23" s="2468" t="s">
        <v>969</v>
      </c>
      <c r="T23" s="2487" t="s">
        <v>966</v>
      </c>
      <c r="U23" s="2489" t="s">
        <v>799</v>
      </c>
      <c r="V23" s="2472" t="s">
        <v>870</v>
      </c>
      <c r="W23" s="2492"/>
      <c r="X23" s="2492"/>
      <c r="Y23" s="2492"/>
      <c r="Z23" s="2492"/>
      <c r="AA23" s="2492"/>
      <c r="AB23" s="2492"/>
      <c r="AC23" s="2492"/>
      <c r="AD23" s="2492"/>
      <c r="AE23" s="2473"/>
      <c r="AF23" s="2472" t="s">
        <v>800</v>
      </c>
      <c r="AG23" s="2492"/>
      <c r="AH23" s="2578" t="s">
        <v>893</v>
      </c>
      <c r="AI23" s="2579"/>
      <c r="AJ23" s="2580"/>
      <c r="AK23" s="334"/>
      <c r="AR23" s="312">
        <f t="shared" si="0"/>
        <v>16</v>
      </c>
      <c r="AS23" s="1049" t="str">
        <f>AR23&amp;" "&amp;IF(AU23&lt;&gt;"-",【様式2】職員名簿!B56&amp;"/"&amp;AT23&amp;"/"&amp;AU23,"")</f>
        <v xml:space="preserve">16 </v>
      </c>
      <c r="AT23" s="1049">
        <f>【様式2】職員名簿!E56</f>
        <v>0</v>
      </c>
      <c r="AU23" s="1049" t="str">
        <f>IF(【様式2】職員名簿!J56="エラー","-",【様式2】職員名簿!J56)</f>
        <v>-</v>
      </c>
      <c r="AV23" s="430">
        <f>IF($AT23="常勤",$AM$2,IF($AT23="非常勤",【様式2】職員名簿!G56,0))</f>
        <v>0</v>
      </c>
      <c r="AW23" s="330">
        <f>IF($AU23=AW$3,COUNTIF($AU$8:$AU23,AW$3),0)</f>
        <v>0</v>
      </c>
      <c r="AX23" s="331" t="str">
        <f t="shared" si="1"/>
        <v/>
      </c>
      <c r="AY23" s="332">
        <f>IF($AU23=AY$3,COUNTIF($AU$8:$AU23,AY$3),0)</f>
        <v>0</v>
      </c>
      <c r="AZ23" s="331" t="str">
        <f t="shared" si="2"/>
        <v/>
      </c>
      <c r="BA23" s="332">
        <f>IF($AU23=BA$3,COUNTIFS($AU$8:$AU23,BA$3,$AT$8:$AT23,BA$4),0)</f>
        <v>0</v>
      </c>
      <c r="BB23" s="331" t="str">
        <f t="shared" si="3"/>
        <v/>
      </c>
      <c r="BC23" s="431">
        <f>IF($AU23=BC$3,COUNTIF($AU$8:$AU23,BC$3),0)</f>
        <v>0</v>
      </c>
      <c r="BD23" s="331" t="str">
        <f t="shared" si="4"/>
        <v/>
      </c>
      <c r="BE23" s="312">
        <f>IF(OR($AU23=BE$3,$AU23=BE$4),COUNTIF($AU$8:$AU23,BE$3)+COUNTIF($AU$8:$AU23,BE$4),0)</f>
        <v>0</v>
      </c>
      <c r="BF23" s="331" t="str">
        <f t="shared" si="5"/>
        <v/>
      </c>
      <c r="BG23" s="312">
        <f>IF($AU23=BG$3,COUNTIF($AU$8:$AU23,BG$3),0)</f>
        <v>0</v>
      </c>
      <c r="BH23" s="331" t="str">
        <f t="shared" si="6"/>
        <v/>
      </c>
      <c r="BI23" s="312">
        <f>IF($AU23&lt;&gt;BI$3,COUNTIF($AU$8:$AU23,"&lt;&gt;"&amp;BI$3),0)</f>
        <v>0</v>
      </c>
      <c r="BJ23" s="331" t="str">
        <f t="shared" si="7"/>
        <v/>
      </c>
      <c r="BK23" s="954"/>
      <c r="BL23" s="954"/>
    </row>
    <row r="24" spans="1:64" s="310" customFormat="1" ht="15" customHeight="1" thickBot="1">
      <c r="A24" s="2478" t="s">
        <v>148</v>
      </c>
      <c r="B24" s="2462" t="s">
        <v>802</v>
      </c>
      <c r="C24" s="2463"/>
      <c r="D24" s="2435" t="s">
        <v>790</v>
      </c>
      <c r="E24" s="2436"/>
      <c r="F24" s="2234" t="s">
        <v>1099</v>
      </c>
      <c r="G24" s="2235"/>
      <c r="H24" s="2235"/>
      <c r="I24" s="2235"/>
      <c r="J24" s="2235"/>
      <c r="K24" s="2235"/>
      <c r="L24" s="2232" t="s">
        <v>803</v>
      </c>
      <c r="M24" s="2233"/>
      <c r="N24" s="2466" t="s">
        <v>871</v>
      </c>
      <c r="O24" s="2476"/>
      <c r="P24" s="322"/>
      <c r="Q24" s="2474"/>
      <c r="R24" s="2475"/>
      <c r="S24" s="2469"/>
      <c r="T24" s="2488"/>
      <c r="U24" s="2490"/>
      <c r="V24" s="2495" t="s">
        <v>912</v>
      </c>
      <c r="W24" s="2496" t="s">
        <v>507</v>
      </c>
      <c r="X24" s="2591" t="s">
        <v>868</v>
      </c>
      <c r="Y24" s="2593" t="s">
        <v>801</v>
      </c>
      <c r="Z24" s="2594"/>
      <c r="AA24" s="2595"/>
      <c r="AB24" s="2595"/>
      <c r="AC24" s="2595"/>
      <c r="AD24" s="2496" t="s">
        <v>417</v>
      </c>
      <c r="AE24" s="2493" t="s">
        <v>7</v>
      </c>
      <c r="AF24" s="2474"/>
      <c r="AG24" s="2577"/>
      <c r="AH24" s="2509" t="s">
        <v>912</v>
      </c>
      <c r="AI24" s="2511" t="s">
        <v>92</v>
      </c>
      <c r="AJ24" s="2581" t="s">
        <v>799</v>
      </c>
      <c r="AR24" s="312">
        <f t="shared" si="0"/>
        <v>17</v>
      </c>
      <c r="AS24" s="1049" t="str">
        <f>AR24&amp;" "&amp;IF(AU24&lt;&gt;"-",【様式2】職員名簿!B57&amp;"/"&amp;AT24&amp;"/"&amp;AU24,"")</f>
        <v xml:space="preserve">17 </v>
      </c>
      <c r="AT24" s="1049">
        <f>【様式2】職員名簿!E57</f>
        <v>0</v>
      </c>
      <c r="AU24" s="1049" t="str">
        <f>IF(【様式2】職員名簿!J57="エラー","-",【様式2】職員名簿!J57)</f>
        <v>-</v>
      </c>
      <c r="AV24" s="430">
        <f>IF($AT24="常勤",$AM$2,IF($AT24="非常勤",【様式2】職員名簿!G57,0))</f>
        <v>0</v>
      </c>
      <c r="AW24" s="330">
        <f>IF($AU24=AW$3,COUNTIF($AU$8:$AU24,AW$3),0)</f>
        <v>0</v>
      </c>
      <c r="AX24" s="331" t="str">
        <f t="shared" si="1"/>
        <v/>
      </c>
      <c r="AY24" s="332">
        <f>IF($AU24=AY$3,COUNTIF($AU$8:$AU24,AY$3),0)</f>
        <v>0</v>
      </c>
      <c r="AZ24" s="331" t="str">
        <f t="shared" si="2"/>
        <v/>
      </c>
      <c r="BA24" s="332">
        <f>IF($AU24=BA$3,COUNTIFS($AU$8:$AU24,BA$3,$AT$8:$AT24,BA$4),0)</f>
        <v>0</v>
      </c>
      <c r="BB24" s="331" t="str">
        <f t="shared" si="3"/>
        <v/>
      </c>
      <c r="BC24" s="431">
        <f>IF($AU24=BC$3,COUNTIF($AU$8:$AU24,BC$3),0)</f>
        <v>0</v>
      </c>
      <c r="BD24" s="331" t="str">
        <f t="shared" si="4"/>
        <v/>
      </c>
      <c r="BE24" s="312">
        <f>IF(OR($AU24=BE$3,$AU24=BE$4),COUNTIF($AU$8:$AU24,BE$3)+COUNTIF($AU$8:$AU24,BE$4),0)</f>
        <v>0</v>
      </c>
      <c r="BF24" s="331" t="str">
        <f t="shared" si="5"/>
        <v/>
      </c>
      <c r="BG24" s="312">
        <f>IF($AU24=BG$3,COUNTIF($AU$8:$AU24,BG$3),0)</f>
        <v>0</v>
      </c>
      <c r="BH24" s="331" t="str">
        <f t="shared" si="6"/>
        <v/>
      </c>
      <c r="BI24" s="312">
        <f>IF($AU24&lt;&gt;BI$3,COUNTIF($AU$8:$AU24,"&lt;&gt;"&amp;BI$3),0)</f>
        <v>0</v>
      </c>
      <c r="BJ24" s="331" t="str">
        <f t="shared" si="7"/>
        <v/>
      </c>
      <c r="BK24" s="954"/>
      <c r="BL24" s="954"/>
    </row>
    <row r="25" spans="1:64" s="310" customFormat="1" ht="15" customHeight="1" thickBot="1">
      <c r="A25" s="2479"/>
      <c r="B25" s="2464"/>
      <c r="C25" s="2465"/>
      <c r="D25" s="2437"/>
      <c r="E25" s="2438"/>
      <c r="F25" s="2439" t="s">
        <v>872</v>
      </c>
      <c r="G25" s="2439"/>
      <c r="H25" s="2439"/>
      <c r="I25" s="342" t="s">
        <v>1101</v>
      </c>
      <c r="J25" s="964" t="s">
        <v>1087</v>
      </c>
      <c r="K25" s="343" t="s">
        <v>1100</v>
      </c>
      <c r="L25" s="844" t="str">
        <f>IF($AL$2,"下限：","")</f>
        <v/>
      </c>
      <c r="M25" s="778" t="str">
        <f>IF($AL$2,IF($AL$3&gt;0,"①"&amp;$AL$3/$AM$2,"")&amp;IF($AL$4&gt;0,"　②"&amp;$AL$4/$AM$2,""),"")</f>
        <v/>
      </c>
      <c r="N25" s="2467"/>
      <c r="O25" s="2477"/>
      <c r="P25" s="322"/>
      <c r="Q25" s="457" t="s">
        <v>203</v>
      </c>
      <c r="R25" s="974" t="s">
        <v>804</v>
      </c>
      <c r="S25" s="2470"/>
      <c r="T25" s="2488"/>
      <c r="U25" s="2491"/>
      <c r="V25" s="2495"/>
      <c r="W25" s="2497"/>
      <c r="X25" s="2592"/>
      <c r="Y25" s="423" t="s">
        <v>92</v>
      </c>
      <c r="Z25" s="458" t="s">
        <v>913</v>
      </c>
      <c r="AA25" s="458" t="s">
        <v>914</v>
      </c>
      <c r="AB25" s="458" t="s">
        <v>915</v>
      </c>
      <c r="AC25" s="459">
        <v>0</v>
      </c>
      <c r="AD25" s="2596"/>
      <c r="AE25" s="2494"/>
      <c r="AF25" s="457" t="s">
        <v>99</v>
      </c>
      <c r="AG25" s="460" t="s">
        <v>805</v>
      </c>
      <c r="AH25" s="2510"/>
      <c r="AI25" s="2512"/>
      <c r="AJ25" s="2582"/>
      <c r="AR25" s="312">
        <f t="shared" si="0"/>
        <v>18</v>
      </c>
      <c r="AS25" s="1049" t="str">
        <f>AR25&amp;" "&amp;IF(AU25&lt;&gt;"-",【様式2】職員名簿!B58&amp;"/"&amp;AT25&amp;"/"&amp;AU25,"")</f>
        <v xml:space="preserve">18 </v>
      </c>
      <c r="AT25" s="1049">
        <f>【様式2】職員名簿!E58</f>
        <v>0</v>
      </c>
      <c r="AU25" s="1049" t="str">
        <f>IF(【様式2】職員名簿!J58="エラー","-",【様式2】職員名簿!J58)</f>
        <v>-</v>
      </c>
      <c r="AV25" s="430">
        <f>IF($AT25="常勤",$AM$2,IF($AT25="非常勤",【様式2】職員名簿!G58,0))</f>
        <v>0</v>
      </c>
      <c r="AW25" s="330">
        <f>IF($AU25=AW$3,COUNTIF($AU$8:$AU25,AW$3),0)</f>
        <v>0</v>
      </c>
      <c r="AX25" s="331" t="str">
        <f t="shared" si="1"/>
        <v/>
      </c>
      <c r="AY25" s="332">
        <f>IF($AU25=AY$3,COUNTIF($AU$8:$AU25,AY$3),0)</f>
        <v>0</v>
      </c>
      <c r="AZ25" s="331" t="str">
        <f t="shared" si="2"/>
        <v/>
      </c>
      <c r="BA25" s="332">
        <f>IF($AU25=BA$3,COUNTIFS($AU$8:$AU25,BA$3,$AT$8:$AT25,BA$4),0)</f>
        <v>0</v>
      </c>
      <c r="BB25" s="331" t="str">
        <f t="shared" si="3"/>
        <v/>
      </c>
      <c r="BC25" s="431">
        <f>IF($AU25=BC$3,COUNTIF($AU$8:$AU25,BC$3),0)</f>
        <v>0</v>
      </c>
      <c r="BD25" s="331" t="str">
        <f t="shared" si="4"/>
        <v/>
      </c>
      <c r="BE25" s="312">
        <f>IF(OR($AU25=BE$3,$AU25=BE$4),COUNTIF($AU$8:$AU25,BE$3)+COUNTIF($AU$8:$AU25,BE$4),0)</f>
        <v>0</v>
      </c>
      <c r="BF25" s="331" t="str">
        <f t="shared" si="5"/>
        <v/>
      </c>
      <c r="BG25" s="312">
        <f>IF($AU25=BG$3,COUNTIF($AU$8:$AU25,BG$3),0)</f>
        <v>0</v>
      </c>
      <c r="BH25" s="331" t="str">
        <f t="shared" si="6"/>
        <v/>
      </c>
      <c r="BI25" s="312">
        <f>IF($AU25&lt;&gt;BI$3,COUNTIF($AU$8:$AU25,"&lt;&gt;"&amp;BI$3),0)</f>
        <v>0</v>
      </c>
      <c r="BJ25" s="331" t="str">
        <f t="shared" si="7"/>
        <v/>
      </c>
      <c r="BK25" s="954"/>
      <c r="BL25" s="954"/>
    </row>
    <row r="26" spans="1:64" s="310" customFormat="1" ht="15" customHeight="1" thickTop="1">
      <c r="A26" s="2412" t="s">
        <v>806</v>
      </c>
      <c r="B26" s="2296" t="s">
        <v>760</v>
      </c>
      <c r="C26" s="2297"/>
      <c r="D26" s="2298" t="str">
        <f>IF(W26,T26,"")</f>
        <v>施設長</v>
      </c>
      <c r="E26" s="2299"/>
      <c r="F26" s="2307"/>
      <c r="G26" s="2307"/>
      <c r="H26" s="2307"/>
      <c r="I26" s="834" t="str">
        <f>IF(OR(NOT(W26),U26=0),"",U26)</f>
        <v/>
      </c>
      <c r="J26" s="824" t="str">
        <f>IF(OR(F26=0,F26=""),"",IF(W26,IF(X26,IF(OR(Y26,V26=3),IF(AD26,IF(OR(AE26,V26=2,V26=3),"○","要常勤"),"時間無"),"重複"),"名簿無"),"対象外"))</f>
        <v/>
      </c>
      <c r="K26" s="826" t="s">
        <v>916</v>
      </c>
      <c r="L26" s="845" t="s">
        <v>1103</v>
      </c>
      <c r="M26" s="846">
        <f>IF(OR(AND(J26&lt;&gt;"",J26&lt;&gt;"○"),AI26=4),"×",IF(J26="",0,AJ26/$AM$2))</f>
        <v>0</v>
      </c>
      <c r="N26" s="535" t="str">
        <f>IF(Q26,"○","×")</f>
        <v>○</v>
      </c>
      <c r="O26" s="792" t="str">
        <f>IF(Q26,IF(S26,"○","×"),"-")</f>
        <v>×</v>
      </c>
      <c r="P26" s="335"/>
      <c r="Q26" s="461" t="b">
        <f>TRUE()</f>
        <v>1</v>
      </c>
      <c r="R26" s="462" t="b">
        <f>【様式１】総括表・個票!AI162</f>
        <v>0</v>
      </c>
      <c r="S26" s="462" t="b">
        <f>AND(J26="○",O140&gt;=0)</f>
        <v>0</v>
      </c>
      <c r="T26" s="461" t="str">
        <f>$AX$6</f>
        <v>施設長</v>
      </c>
      <c r="U26" s="970">
        <f>IFERROR(VLOOKUP($F26,$AS$8:$AV$111,4,FALSE),0)</f>
        <v>0</v>
      </c>
      <c r="V26" s="461">
        <v>2</v>
      </c>
      <c r="W26" s="461" t="b">
        <f>Q26</f>
        <v>1</v>
      </c>
      <c r="X26" s="463" t="b">
        <f t="shared" ref="X26" ca="1" si="12">COUNTIF(INDIRECT(T26),F26)&gt;0</f>
        <v>0</v>
      </c>
      <c r="Y26" s="425" t="b">
        <f>COUNTIF($AC$25:AC25,AC26)+COUNTIF(AC27:$AC$124,AC26)-COUNTIF(Z26:AB26,AC26)=0</f>
        <v>0</v>
      </c>
      <c r="Z26" s="461" t="s">
        <v>916</v>
      </c>
      <c r="AA26" s="461" t="s">
        <v>916</v>
      </c>
      <c r="AB26" s="461" t="s">
        <v>916</v>
      </c>
      <c r="AC26" s="971">
        <f>IF(V26=3,0,IFERROR(INDEX($AR$8:$AR$111,MATCH($F26,AS$8:AS$111,0),1),0))</f>
        <v>0</v>
      </c>
      <c r="AD26" s="463" t="b">
        <f t="shared" ref="AD26:AD73" si="13">U26&gt;0</f>
        <v>0</v>
      </c>
      <c r="AE26" s="425" t="b">
        <f>IFERROR(VLOOKUP($F26,$AS$8:$AV$111,2,FALSE),"")="常勤"</f>
        <v>0</v>
      </c>
      <c r="AF26" s="461" t="s">
        <v>916</v>
      </c>
      <c r="AG26" s="461" t="s">
        <v>874</v>
      </c>
      <c r="AH26" s="461">
        <v>1</v>
      </c>
      <c r="AI26" s="329">
        <f>IF(AND($W26,$J26="○"),IF($K26="-",IF($U26&lt;IF($AH26=5,$AL$4,$AL$3),$AH26,2),IF($K26=0,IF($U26&lt;IF($AH26=5,$AL$4,$AL$3),IF(OR($AH26=1,$AH26=5),$AH26,3),3),IF(K26&lt;IF($AH26=5,$AL$4,$AL$3),$AH26,IF($K26&gt;$U26,4,2)))),2)</f>
        <v>2</v>
      </c>
      <c r="AJ26" s="464">
        <f t="shared" ref="AJ26" si="14">IF(AI26=1,$AL$3,IF(AI26=5,$AL$4,IF(AI26=2,IF(K26="-",U26,K26),IF(AI26=3,U26,"×"))))</f>
        <v>0</v>
      </c>
      <c r="AR26" s="312">
        <f t="shared" si="0"/>
        <v>19</v>
      </c>
      <c r="AS26" s="1049" t="str">
        <f>AR26&amp;" "&amp;IF(AU26&lt;&gt;"-",【様式2】職員名簿!B59&amp;"/"&amp;AT26&amp;"/"&amp;AU26,"")</f>
        <v xml:space="preserve">19 </v>
      </c>
      <c r="AT26" s="1049">
        <f>【様式2】職員名簿!E59</f>
        <v>0</v>
      </c>
      <c r="AU26" s="1049" t="str">
        <f>IF(【様式2】職員名簿!J59="エラー","-",【様式2】職員名簿!J59)</f>
        <v>-</v>
      </c>
      <c r="AV26" s="430">
        <f>IF($AT26="常勤",$AM$2,IF($AT26="非常勤",【様式2】職員名簿!G59,0))</f>
        <v>0</v>
      </c>
      <c r="AW26" s="330">
        <f>IF($AU26=AW$3,COUNTIF($AU$8:$AU26,AW$3),0)</f>
        <v>0</v>
      </c>
      <c r="AX26" s="331" t="str">
        <f t="shared" si="1"/>
        <v/>
      </c>
      <c r="AY26" s="332">
        <f>IF($AU26=AY$3,COUNTIF($AU$8:$AU26,AY$3),0)</f>
        <v>0</v>
      </c>
      <c r="AZ26" s="331" t="str">
        <f t="shared" si="2"/>
        <v/>
      </c>
      <c r="BA26" s="332">
        <f>IF($AU26=BA$3,COUNTIFS($AU$8:$AU26,BA$3,$AT$8:$AT26,BA$4),0)</f>
        <v>0</v>
      </c>
      <c r="BB26" s="331" t="str">
        <f t="shared" si="3"/>
        <v/>
      </c>
      <c r="BC26" s="431">
        <f>IF($AU26=BC$3,COUNTIF($AU$8:$AU26,BC$3),0)</f>
        <v>0</v>
      </c>
      <c r="BD26" s="331" t="str">
        <f t="shared" si="4"/>
        <v/>
      </c>
      <c r="BE26" s="312">
        <f>IF(OR($AU26=BE$3,$AU26=BE$4),COUNTIF($AU$8:$AU26,BE$3)+COUNTIF($AU$8:$AU26,BE$4),0)</f>
        <v>0</v>
      </c>
      <c r="BF26" s="331" t="str">
        <f t="shared" si="5"/>
        <v/>
      </c>
      <c r="BG26" s="312">
        <f>IF($AU26=BG$3,COUNTIF($AU$8:$AU26,BG$3),0)</f>
        <v>0</v>
      </c>
      <c r="BH26" s="331" t="str">
        <f t="shared" si="6"/>
        <v/>
      </c>
      <c r="BI26" s="312">
        <f>IF($AU26&lt;&gt;BI$3,COUNTIF($AU$8:$AU26,"&lt;&gt;"&amp;BI$3),0)</f>
        <v>0</v>
      </c>
      <c r="BJ26" s="331" t="str">
        <f t="shared" si="7"/>
        <v/>
      </c>
      <c r="BK26" s="954"/>
      <c r="BL26" s="954"/>
    </row>
    <row r="27" spans="1:64" s="310" customFormat="1" ht="15" customHeight="1">
      <c r="A27" s="2413"/>
      <c r="B27" s="2415" t="s">
        <v>941</v>
      </c>
      <c r="C27" s="2416"/>
      <c r="D27" s="2300" t="str">
        <f t="shared" ref="D27:D30" si="15">IF(W27,T27,"")</f>
        <v/>
      </c>
      <c r="E27" s="2301"/>
      <c r="F27" s="2238" t="str">
        <f>IF(Q27,"利用定員90人以下については１人（分園がある場合は各１人）","")</f>
        <v/>
      </c>
      <c r="G27" s="2239"/>
      <c r="H27" s="2239"/>
      <c r="I27" s="2239"/>
      <c r="J27" s="2239"/>
      <c r="K27" s="2240"/>
      <c r="L27" s="847" t="s">
        <v>945</v>
      </c>
      <c r="M27" s="528" t="s">
        <v>947</v>
      </c>
      <c r="N27" s="536" t="str">
        <f>IF(Q27,"○","×")</f>
        <v>×</v>
      </c>
      <c r="O27" s="793" t="str">
        <f t="shared" ref="O27:O28" si="16">IF(Q27,IF(S27,"○","×"),"-")</f>
        <v>-</v>
      </c>
      <c r="P27" s="335"/>
      <c r="Q27" s="967" t="b">
        <f>R27&gt;=1</f>
        <v>0</v>
      </c>
      <c r="R27" s="470">
        <f>SUM(N(AND(B12&gt;0,B12&lt;=90)),N(AND(B19&gt;0,B19&lt;=90)))</f>
        <v>0</v>
      </c>
      <c r="S27" s="470" t="b">
        <f>$O$142&gt;=0</f>
        <v>1</v>
      </c>
      <c r="T27" s="465" t="str">
        <f>$AZ$6</f>
        <v>保育士</v>
      </c>
      <c r="U27" s="332" t="s">
        <v>874</v>
      </c>
      <c r="V27" s="465" t="s">
        <v>874</v>
      </c>
      <c r="W27" s="465" t="b">
        <f>Q27</f>
        <v>0</v>
      </c>
      <c r="X27" s="463" t="s">
        <v>874</v>
      </c>
      <c r="Y27" s="425" t="s">
        <v>874</v>
      </c>
      <c r="Z27" s="968" t="s">
        <v>874</v>
      </c>
      <c r="AA27" s="968" t="s">
        <v>874</v>
      </c>
      <c r="AB27" s="968" t="s">
        <v>874</v>
      </c>
      <c r="AC27" s="971" t="s">
        <v>874</v>
      </c>
      <c r="AD27" s="431" t="s">
        <v>874</v>
      </c>
      <c r="AE27" s="430" t="s">
        <v>874</v>
      </c>
      <c r="AF27" s="465" t="s">
        <v>874</v>
      </c>
      <c r="AG27" s="465" t="s">
        <v>874</v>
      </c>
      <c r="AH27" s="465" t="s">
        <v>874</v>
      </c>
      <c r="AI27" s="431" t="s">
        <v>874</v>
      </c>
      <c r="AJ27" s="336" t="s">
        <v>874</v>
      </c>
      <c r="AL27" s="334"/>
      <c r="AR27" s="312">
        <f t="shared" si="0"/>
        <v>20</v>
      </c>
      <c r="AS27" s="1049" t="str">
        <f>AR27&amp;" "&amp;IF(AU27&lt;&gt;"-",【様式2】職員名簿!B60&amp;"/"&amp;AT27&amp;"/"&amp;AU27,"")</f>
        <v xml:space="preserve">20 </v>
      </c>
      <c r="AT27" s="1049">
        <f>【様式2】職員名簿!E60</f>
        <v>0</v>
      </c>
      <c r="AU27" s="1049" t="str">
        <f>IF(【様式2】職員名簿!J60="エラー","-",【様式2】職員名簿!J60)</f>
        <v>-</v>
      </c>
      <c r="AV27" s="430">
        <f>IF($AT27="常勤",$AM$2,IF($AT27="非常勤",【様式2】職員名簿!G60,0))</f>
        <v>0</v>
      </c>
      <c r="AW27" s="330">
        <f>IF($AU27=AW$3,COUNTIF($AU$8:$AU27,AW$3),0)</f>
        <v>0</v>
      </c>
      <c r="AX27" s="331" t="str">
        <f t="shared" si="1"/>
        <v/>
      </c>
      <c r="AY27" s="332">
        <f>IF($AU27=AY$3,COUNTIF($AU$8:$AU27,AY$3),0)</f>
        <v>0</v>
      </c>
      <c r="AZ27" s="331" t="str">
        <f t="shared" si="2"/>
        <v/>
      </c>
      <c r="BA27" s="332">
        <f>IF($AU27=BA$3,COUNTIFS($AU$8:$AU27,BA$3,$AT$8:$AT27,BA$4),0)</f>
        <v>0</v>
      </c>
      <c r="BB27" s="331" t="str">
        <f t="shared" si="3"/>
        <v/>
      </c>
      <c r="BC27" s="431">
        <f>IF($AU27=BC$3,COUNTIF($AU$8:$AU27,BC$3),0)</f>
        <v>0</v>
      </c>
      <c r="BD27" s="331" t="str">
        <f t="shared" si="4"/>
        <v/>
      </c>
      <c r="BE27" s="312">
        <f>IF(OR($AU27=BE$3,$AU27=BE$4),COUNTIF($AU$8:$AU27,BE$3)+COUNTIF($AU$8:$AU27,BE$4),0)</f>
        <v>0</v>
      </c>
      <c r="BF27" s="331" t="str">
        <f t="shared" si="5"/>
        <v/>
      </c>
      <c r="BG27" s="312">
        <f>IF($AU27=BG$3,COUNTIF($AU$8:$AU27,BG$3),0)</f>
        <v>0</v>
      </c>
      <c r="BH27" s="331" t="str">
        <f t="shared" si="6"/>
        <v/>
      </c>
      <c r="BI27" s="312">
        <f>IF($AU27&lt;&gt;BI$3,COUNTIF($AU$8:$AU27,"&lt;&gt;"&amp;BI$3),0)</f>
        <v>0</v>
      </c>
      <c r="BJ27" s="331" t="str">
        <f t="shared" si="7"/>
        <v/>
      </c>
      <c r="BK27" s="954"/>
      <c r="BL27" s="954"/>
    </row>
    <row r="28" spans="1:64" s="310" customFormat="1" ht="15" customHeight="1">
      <c r="A28" s="2413"/>
      <c r="B28" s="2304" t="s">
        <v>942</v>
      </c>
      <c r="C28" s="2305"/>
      <c r="D28" s="2261" t="str">
        <f t="shared" si="15"/>
        <v/>
      </c>
      <c r="E28" s="2262"/>
      <c r="F28" s="2241" t="str">
        <f>IF(Q28,"保育標準時間児童が利用する場合は１人（分園がある場合は各１人）","")</f>
        <v/>
      </c>
      <c r="G28" s="2242"/>
      <c r="H28" s="2242"/>
      <c r="I28" s="2242"/>
      <c r="J28" s="2242"/>
      <c r="K28" s="2243"/>
      <c r="L28" s="848" t="s">
        <v>874</v>
      </c>
      <c r="M28" s="576" t="s">
        <v>944</v>
      </c>
      <c r="N28" s="537" t="str">
        <f>IF(Q28,"○","×")</f>
        <v>×</v>
      </c>
      <c r="O28" s="794" t="str">
        <f t="shared" si="16"/>
        <v>-</v>
      </c>
      <c r="P28" s="335"/>
      <c r="Q28" s="967" t="b">
        <f>R28&gt;=1</f>
        <v>0</v>
      </c>
      <c r="R28" s="470">
        <f>SUM(N(N8&gt;0),N(N15&gt;0))</f>
        <v>0</v>
      </c>
      <c r="S28" s="470" t="b">
        <f>$O$142&gt;=0</f>
        <v>1</v>
      </c>
      <c r="T28" s="465" t="str">
        <f>$AZ$6</f>
        <v>保育士</v>
      </c>
      <c r="U28" s="332" t="s">
        <v>874</v>
      </c>
      <c r="V28" s="465" t="s">
        <v>874</v>
      </c>
      <c r="W28" s="465" t="b">
        <f>Q28</f>
        <v>0</v>
      </c>
      <c r="X28" s="463" t="s">
        <v>874</v>
      </c>
      <c r="Y28" s="425" t="s">
        <v>874</v>
      </c>
      <c r="Z28" s="968" t="s">
        <v>874</v>
      </c>
      <c r="AA28" s="968" t="s">
        <v>874</v>
      </c>
      <c r="AB28" s="968" t="s">
        <v>874</v>
      </c>
      <c r="AC28" s="971" t="s">
        <v>874</v>
      </c>
      <c r="AD28" s="431" t="s">
        <v>874</v>
      </c>
      <c r="AE28" s="430" t="s">
        <v>874</v>
      </c>
      <c r="AF28" s="465" t="s">
        <v>874</v>
      </c>
      <c r="AG28" s="465" t="s">
        <v>874</v>
      </c>
      <c r="AH28" s="465" t="s">
        <v>874</v>
      </c>
      <c r="AI28" s="431" t="s">
        <v>874</v>
      </c>
      <c r="AJ28" s="336" t="s">
        <v>874</v>
      </c>
      <c r="AL28" s="334"/>
      <c r="AR28" s="312">
        <f t="shared" si="0"/>
        <v>21</v>
      </c>
      <c r="AS28" s="1049" t="str">
        <f>AR28&amp;" "&amp;IF(AU28&lt;&gt;"-",【様式2】職員名簿!B61&amp;"/"&amp;AT28&amp;"/"&amp;AU28,"")</f>
        <v xml:space="preserve">21 </v>
      </c>
      <c r="AT28" s="1049">
        <f>【様式2】職員名簿!E61</f>
        <v>0</v>
      </c>
      <c r="AU28" s="1049" t="str">
        <f>IF(【様式2】職員名簿!J61="エラー","-",【様式2】職員名簿!J61)</f>
        <v>-</v>
      </c>
      <c r="AV28" s="430">
        <f>IF($AT28="常勤",$AM$2,IF($AT28="非常勤",【様式2】職員名簿!G61,0))</f>
        <v>0</v>
      </c>
      <c r="AW28" s="330">
        <f>IF($AU28=AW$3,COUNTIF($AU$8:$AU28,AW$3),0)</f>
        <v>0</v>
      </c>
      <c r="AX28" s="331" t="str">
        <f t="shared" si="1"/>
        <v/>
      </c>
      <c r="AY28" s="332">
        <f>IF($AU28=AY$3,COUNTIF($AU$8:$AU28,AY$3),0)</f>
        <v>0</v>
      </c>
      <c r="AZ28" s="331" t="str">
        <f t="shared" si="2"/>
        <v/>
      </c>
      <c r="BA28" s="332">
        <f>IF($AU28=BA$3,COUNTIFS($AU$8:$AU28,BA$3,$AT$8:$AT28,BA$4),0)</f>
        <v>0</v>
      </c>
      <c r="BB28" s="331" t="str">
        <f t="shared" si="3"/>
        <v/>
      </c>
      <c r="BC28" s="431">
        <f>IF($AU28=BC$3,COUNTIF($AU$8:$AU28,BC$3),0)</f>
        <v>0</v>
      </c>
      <c r="BD28" s="331" t="str">
        <f t="shared" si="4"/>
        <v/>
      </c>
      <c r="BE28" s="312">
        <f>IF(OR($AU28=BE$3,$AU28=BE$4),COUNTIF($AU$8:$AU28,BE$3)+COUNTIF($AU$8:$AU28,BE$4),0)</f>
        <v>0</v>
      </c>
      <c r="BF28" s="331" t="str">
        <f t="shared" si="5"/>
        <v/>
      </c>
      <c r="BG28" s="312">
        <f>IF($AU28=BG$3,COUNTIF($AU$8:$AU28,BG$3),0)</f>
        <v>0</v>
      </c>
      <c r="BH28" s="331" t="str">
        <f t="shared" si="6"/>
        <v/>
      </c>
      <c r="BI28" s="312">
        <f>IF($AU28&lt;&gt;BI$3,COUNTIF($AU$8:$AU28,"&lt;&gt;"&amp;BI$3),0)</f>
        <v>0</v>
      </c>
      <c r="BJ28" s="331" t="str">
        <f t="shared" si="7"/>
        <v/>
      </c>
      <c r="BK28" s="954"/>
      <c r="BL28" s="954"/>
    </row>
    <row r="29" spans="1:64" s="310" customFormat="1" ht="15" customHeight="1">
      <c r="A29" s="2413"/>
      <c r="B29" s="2250" t="s">
        <v>943</v>
      </c>
      <c r="C29" s="569" t="s">
        <v>932</v>
      </c>
      <c r="D29" s="2272" t="str">
        <f t="shared" si="15"/>
        <v/>
      </c>
      <c r="E29" s="2273"/>
      <c r="F29" s="2276"/>
      <c r="G29" s="2276"/>
      <c r="H29" s="2276"/>
      <c r="I29" s="835" t="str">
        <f>IF(OR(NOT(W29),U29=0),"",U29)</f>
        <v/>
      </c>
      <c r="J29" s="962" t="str">
        <f>IF(OR(F29=0,F29=""),"",IF(W29,IF(X29,IF(OR(Y29,V29=3),IF(AD29,IF(OR(AE29,V29=2,V29=3),"○","要常勤"),"時間無"),"重複"),"名簿無"),"対象外"))</f>
        <v/>
      </c>
      <c r="K29" s="798" t="s">
        <v>916</v>
      </c>
      <c r="L29" s="849" t="str">
        <f t="shared" ref="L29:L30" si="17">IF(AI29=1,"調整①→",IF(AI29=5,"調整②→",IF(AI29=2,"",IF(AI29=3,"全計上→","エラー"))))</f>
        <v/>
      </c>
      <c r="M29" s="850">
        <f>IF(OR(AND(J29&lt;&gt;"",J29&lt;&gt;"○"),AI29=4),"×",IF(J29="",0,AJ29/$AM$2))</f>
        <v>0</v>
      </c>
      <c r="N29" s="537" t="str">
        <f>IF(Q29,"○","×")</f>
        <v>×</v>
      </c>
      <c r="O29" s="794" t="str">
        <f>IF(Q29,IF(S29,"○","×"),"-")</f>
        <v>-</v>
      </c>
      <c r="P29" s="335"/>
      <c r="Q29" s="967" t="b">
        <f>B12&gt;0</f>
        <v>0</v>
      </c>
      <c r="R29" s="470" t="b">
        <f>NOT(AE30)</f>
        <v>1</v>
      </c>
      <c r="S29" s="470" t="b">
        <f>AND(J29="○",$O$142&gt;=0)</f>
        <v>0</v>
      </c>
      <c r="T29" s="465" t="str">
        <f>$AZ$6</f>
        <v>保育士</v>
      </c>
      <c r="U29" s="332">
        <f>IFERROR(VLOOKUP($F29,$AS$8:$AV$111,4,FALSE),0)</f>
        <v>0</v>
      </c>
      <c r="V29" s="465">
        <v>2</v>
      </c>
      <c r="W29" s="465" t="b">
        <f>AND(Q29,R29)</f>
        <v>0</v>
      </c>
      <c r="X29" s="463" t="b">
        <f ca="1">COUNTIF(INDIRECT(T29),F29)&gt;0</f>
        <v>0</v>
      </c>
      <c r="Y29" s="425" t="b">
        <f>COUNTIF($AC$25:AC28,AC29)+COUNTIF(AC30:$AC$124,AC29)-COUNTIF(Z29:AB29,AC29)=0</f>
        <v>0</v>
      </c>
      <c r="Z29" s="968" t="s">
        <v>874</v>
      </c>
      <c r="AA29" s="968" t="s">
        <v>874</v>
      </c>
      <c r="AB29" s="968" t="s">
        <v>874</v>
      </c>
      <c r="AC29" s="424">
        <f>IF(V29=3,0,IFERROR(INDEX($AR$8:$AR$111,MATCH($F29,AS$8:AS$111,0),1),0))</f>
        <v>0</v>
      </c>
      <c r="AD29" s="468" t="b">
        <f t="shared" ref="AD29" si="18">U29&gt;0</f>
        <v>0</v>
      </c>
      <c r="AE29" s="469" t="b">
        <f>IFERROR(VLOOKUP($F29,$AS$8:$AV$111,2,FALSE),"")="常勤"</f>
        <v>0</v>
      </c>
      <c r="AF29" s="465" t="s">
        <v>874</v>
      </c>
      <c r="AG29" s="465" t="s">
        <v>874</v>
      </c>
      <c r="AH29" s="465">
        <v>1</v>
      </c>
      <c r="AI29" s="431">
        <f t="shared" ref="AI29" si="19">IF(AND($W29,$J29="○"),IF($K29="-",IF($U29&lt;IF($AH29=5,$AL$4,$AL$3),$AH29,2),IF($K29=0,IF($U29&lt;IF($AH29=5,$AL$4,$AL$3),IF(OR($AH29=1,$AH29=5),$AH29,3),3),IF(K29&lt;IF($AH29=5,$AL$4,$AL$3),$AH29,IF($K29&gt;$U29,4,2)))),2)</f>
        <v>2</v>
      </c>
      <c r="AJ29" s="336">
        <f t="shared" ref="AJ29:AJ30" si="20">IF(AI29=1,$AL$3,IF(AI29=5,$AL$4,IF(AI29=2,IF(K29="-",U29,K29),IF(AI29=3,U29,"×"))))</f>
        <v>0</v>
      </c>
      <c r="AL29" s="334"/>
      <c r="AR29" s="312">
        <f t="shared" si="0"/>
        <v>22</v>
      </c>
      <c r="AS29" s="1049" t="str">
        <f>AR29&amp;" "&amp;IF(AU29&lt;&gt;"-",【様式2】職員名簿!B62&amp;"/"&amp;AT29&amp;"/"&amp;AU29,"")</f>
        <v xml:space="preserve">22 </v>
      </c>
      <c r="AT29" s="1049">
        <f>【様式2】職員名簿!E62</f>
        <v>0</v>
      </c>
      <c r="AU29" s="1049" t="str">
        <f>IF(【様式2】職員名簿!J62="エラー","-",【様式2】職員名簿!J62)</f>
        <v>-</v>
      </c>
      <c r="AV29" s="430">
        <f>IF($AT29="常勤",$AM$2,IF($AT29="非常勤",【様式2】職員名簿!G62,0))</f>
        <v>0</v>
      </c>
      <c r="AW29" s="330">
        <f>IF($AU29=AW$3,COUNTIF($AU$8:$AU29,AW$3),0)</f>
        <v>0</v>
      </c>
      <c r="AX29" s="331" t="str">
        <f t="shared" si="1"/>
        <v/>
      </c>
      <c r="AY29" s="332">
        <f>IF($AU29=AY$3,COUNTIF($AU$8:$AU29,AY$3),0)</f>
        <v>0</v>
      </c>
      <c r="AZ29" s="331" t="str">
        <f t="shared" si="2"/>
        <v/>
      </c>
      <c r="BA29" s="332">
        <f>IF($AU29=BA$3,COUNTIFS($AU$8:$AU29,BA$3,$AT$8:$AT29,BA$4),0)</f>
        <v>0</v>
      </c>
      <c r="BB29" s="331" t="str">
        <f t="shared" si="3"/>
        <v/>
      </c>
      <c r="BC29" s="431">
        <f>IF($AU29=BC$3,COUNTIF($AU$8:$AU29,BC$3),0)</f>
        <v>0</v>
      </c>
      <c r="BD29" s="331" t="str">
        <f t="shared" si="4"/>
        <v/>
      </c>
      <c r="BE29" s="312">
        <f>IF(OR($AU29=BE$3,$AU29=BE$4),COUNTIF($AU$8:$AU29,BE$3)+COUNTIF($AU$8:$AU29,BE$4),0)</f>
        <v>0</v>
      </c>
      <c r="BF29" s="331" t="str">
        <f t="shared" si="5"/>
        <v/>
      </c>
      <c r="BG29" s="312">
        <f>IF($AU29=BG$3,COUNTIF($AU$8:$AU29,BG$3),0)</f>
        <v>0</v>
      </c>
      <c r="BH29" s="331" t="str">
        <f t="shared" si="6"/>
        <v/>
      </c>
      <c r="BI29" s="312">
        <f>IF($AU29&lt;&gt;BI$3,COUNTIF($AU$8:$AU29,"&lt;&gt;"&amp;BI$3),0)</f>
        <v>0</v>
      </c>
      <c r="BJ29" s="331" t="str">
        <f t="shared" si="7"/>
        <v/>
      </c>
      <c r="BK29" s="954"/>
      <c r="BL29" s="954"/>
    </row>
    <row r="30" spans="1:64" s="310" customFormat="1" ht="15" customHeight="1">
      <c r="A30" s="2413"/>
      <c r="B30" s="2252"/>
      <c r="C30" s="570" t="str">
        <f>IF(B19&gt;0,"分園","")</f>
        <v/>
      </c>
      <c r="D30" s="2274" t="str">
        <f t="shared" si="15"/>
        <v/>
      </c>
      <c r="E30" s="2275"/>
      <c r="F30" s="2277"/>
      <c r="G30" s="2277"/>
      <c r="H30" s="2277"/>
      <c r="I30" s="836" t="str">
        <f>IF(OR(NOT(W30),U30=0),"",U30)</f>
        <v/>
      </c>
      <c r="J30" s="530" t="str">
        <f>IF(OR(F30=0,F30=""),"",IF(W30,IF(X30,IF(OR(Y30,V30=3),IF(AD30,IF(OR(AE30,V30=2,V30=3),"○","要常勤"),"時間無"),"重複"),"名簿無"),"対象外"))</f>
        <v/>
      </c>
      <c r="K30" s="827" t="s">
        <v>916</v>
      </c>
      <c r="L30" s="851" t="str">
        <f t="shared" si="17"/>
        <v/>
      </c>
      <c r="M30" s="533">
        <f>IF(OR(AND(J30&lt;&gt;"",J30&lt;&gt;"○"),AI30=4),"×",IF(J30="",0,AJ30/$AM$2))</f>
        <v>0</v>
      </c>
      <c r="N30" s="585" t="str">
        <f t="shared" ref="N30" si="21">IF(Q30,"○","×")</f>
        <v>×</v>
      </c>
      <c r="O30" s="795" t="str">
        <f t="shared" ref="O30" si="22">IF(Q30,IF(S30,"○","×"),"-")</f>
        <v>-</v>
      </c>
      <c r="P30" s="335"/>
      <c r="Q30" s="967" t="b">
        <f>AND(B19&gt;0,R30)</f>
        <v>0</v>
      </c>
      <c r="R30" s="470" t="b">
        <f>NOT(AE29)</f>
        <v>1</v>
      </c>
      <c r="S30" s="470" t="b">
        <f>AND(J30="○",$O$142&gt;=0)</f>
        <v>0</v>
      </c>
      <c r="T30" s="465" t="str">
        <f>$AZ$6</f>
        <v>保育士</v>
      </c>
      <c r="U30" s="332">
        <f>IFERROR(VLOOKUP($F30,$AS$8:$AV$111,4,FALSE),0)</f>
        <v>0</v>
      </c>
      <c r="V30" s="465">
        <v>2</v>
      </c>
      <c r="W30" s="465" t="b">
        <f>AND(Q30,R30)</f>
        <v>0</v>
      </c>
      <c r="X30" s="463" t="b">
        <f t="shared" ref="X30" ca="1" si="23">COUNTIF(INDIRECT(T30),F30)&gt;0</f>
        <v>0</v>
      </c>
      <c r="Y30" s="425" t="b">
        <f>COUNTIF($AC$25:AC29,AC30)+COUNTIF(AC31:$AC$124,AC30)-COUNTIF(Z30:AB30,AC30)=0</f>
        <v>0</v>
      </c>
      <c r="Z30" s="968" t="s">
        <v>874</v>
      </c>
      <c r="AA30" s="968" t="s">
        <v>874</v>
      </c>
      <c r="AB30" s="968" t="s">
        <v>874</v>
      </c>
      <c r="AC30" s="424">
        <f>IF(V30=3,0,IFERROR(INDEX($AR$8:$AR$111,MATCH($F30,AS$8:AS$111,0),1),0))</f>
        <v>0</v>
      </c>
      <c r="AD30" s="468" t="b">
        <f>U30&gt;0</f>
        <v>0</v>
      </c>
      <c r="AE30" s="469" t="b">
        <f>IFERROR(VLOOKUP($F30,$AS$8:$AV$111,2,FALSE),"")="常勤"</f>
        <v>0</v>
      </c>
      <c r="AF30" s="465" t="s">
        <v>874</v>
      </c>
      <c r="AG30" s="465" t="s">
        <v>874</v>
      </c>
      <c r="AH30" s="465">
        <v>1</v>
      </c>
      <c r="AI30" s="431">
        <f>IF(AND($W30,$J30="○"),IF($K30="-",IF($U30&lt;IF($AH30=5,$AL$4,$AL$3),$AH30,2),IF($K30=0,IF($U30&lt;IF($AH30=5,$AL$4,$AL$3),IF(OR($AH30=1,$AH30=5),$AH30,3),3),IF(K30&lt;IF($AH30=5,$AL$4,$AL$3),$AH30,IF($K30&gt;$U30,4,2)))),2)</f>
        <v>2</v>
      </c>
      <c r="AJ30" s="336">
        <f t="shared" si="20"/>
        <v>0</v>
      </c>
      <c r="AQ30" s="338"/>
      <c r="AR30" s="312">
        <f t="shared" si="0"/>
        <v>23</v>
      </c>
      <c r="AS30" s="1049" t="str">
        <f>AR30&amp;" "&amp;IF(AU30&lt;&gt;"-",【様式2】職員名簿!B63&amp;"/"&amp;AT30&amp;"/"&amp;AU30,"")</f>
        <v xml:space="preserve">23 </v>
      </c>
      <c r="AT30" s="1049">
        <f>【様式2】職員名簿!E63</f>
        <v>0</v>
      </c>
      <c r="AU30" s="1049" t="str">
        <f>IF(【様式2】職員名簿!J63="エラー","-",【様式2】職員名簿!J63)</f>
        <v>-</v>
      </c>
      <c r="AV30" s="430">
        <f>IF($AT30="常勤",$AM$2,IF($AT30="非常勤",【様式2】職員名簿!G63,0))</f>
        <v>0</v>
      </c>
      <c r="AW30" s="330">
        <f>IF($AU30=AW$3,COUNTIF($AU$8:$AU30,AW$3),0)</f>
        <v>0</v>
      </c>
      <c r="AX30" s="331" t="str">
        <f t="shared" si="1"/>
        <v/>
      </c>
      <c r="AY30" s="332">
        <f>IF($AU30=AY$3,COUNTIF($AU$8:$AU30,AY$3),0)</f>
        <v>0</v>
      </c>
      <c r="AZ30" s="331" t="str">
        <f t="shared" si="2"/>
        <v/>
      </c>
      <c r="BA30" s="332">
        <f>IF($AU30=BA$3,COUNTIFS($AU$8:$AU30,BA$3,$AT$8:$AT30,BA$4),0)</f>
        <v>0</v>
      </c>
      <c r="BB30" s="331" t="str">
        <f t="shared" si="3"/>
        <v/>
      </c>
      <c r="BC30" s="431">
        <f>IF($AU30=BC$3,COUNTIF($AU$8:$AU30,BC$3),0)</f>
        <v>0</v>
      </c>
      <c r="BD30" s="331" t="str">
        <f t="shared" si="4"/>
        <v/>
      </c>
      <c r="BE30" s="312">
        <f>IF(OR($AU30=BE$3,$AU30=BE$4),COUNTIF($AU$8:$AU30,BE$3)+COUNTIF($AU$8:$AU30,BE$4),0)</f>
        <v>0</v>
      </c>
      <c r="BF30" s="331" t="str">
        <f t="shared" si="5"/>
        <v/>
      </c>
      <c r="BG30" s="312">
        <f>IF($AU30=BG$3,COUNTIF($AU$8:$AU30,BG$3),0)</f>
        <v>0</v>
      </c>
      <c r="BH30" s="331" t="str">
        <f t="shared" si="6"/>
        <v/>
      </c>
      <c r="BI30" s="312">
        <f>IF($AU30&lt;&gt;BI$3,COUNTIF($AU$8:$AU30,"&lt;&gt;"&amp;BI$3),0)</f>
        <v>0</v>
      </c>
      <c r="BJ30" s="331" t="str">
        <f t="shared" si="7"/>
        <v/>
      </c>
      <c r="BK30" s="954"/>
      <c r="BL30" s="954"/>
    </row>
    <row r="31" spans="1:64" s="310" customFormat="1" ht="15" customHeight="1">
      <c r="A31" s="2413"/>
      <c r="B31" s="2248" t="s">
        <v>145</v>
      </c>
      <c r="C31" s="2249"/>
      <c r="D31" s="2302" t="str">
        <f>IF(W31,T31,"")</f>
        <v>調理員</v>
      </c>
      <c r="E31" s="2303"/>
      <c r="F31" s="2238" t="str">
        <f>IF(R31=1,"本園：定員"&amp;B12&amp;"人は"&amp;IF(B12&lt;=40,"常勤換算１人",IF(B12&lt;=150,"常勤換算２人","常勤換算２人+非常勤１名")),IF(R31=2,"業務委託","エラー：個票0を見直すこと"))&amp;IF(B19&gt;0,"／分園："&amp;IF(【様式１】総括表・個票!AI63,"本園等から搬入のため不要","常勤換算"&amp;IF(B19&lt;=40,1,2)&amp;"人"),"")</f>
        <v>エラー：個票0を見直すこと</v>
      </c>
      <c r="G31" s="2239"/>
      <c r="H31" s="2239"/>
      <c r="I31" s="2239"/>
      <c r="J31" s="2239"/>
      <c r="K31" s="2240"/>
      <c r="L31" s="849" t="s">
        <v>944</v>
      </c>
      <c r="M31" s="850" t="s">
        <v>944</v>
      </c>
      <c r="N31" s="675" t="str">
        <f t="shared" ref="N31:N39" si="24">IF(Q31,"○","×")</f>
        <v>○</v>
      </c>
      <c r="O31" s="2228" t="str">
        <f>IF(Q31,IF(S31,"○","×"),"-")</f>
        <v>×</v>
      </c>
      <c r="P31" s="335"/>
      <c r="Q31" s="729" t="b">
        <f>TRUE()</f>
        <v>1</v>
      </c>
      <c r="R31" s="470">
        <f>IF(【様式１】総括表・個票!AI61,1,IF(【様式１】総括表・個票!AI62,2,0))</f>
        <v>0</v>
      </c>
      <c r="S31" s="470" t="b">
        <f>AND($O$155&gt;=0,IF(Q32,S32,TRUE),IF(Q33,S33,TRUE),IF(Q34,S34,TRUE),OR(Q32,Q33,Q34))</f>
        <v>0</v>
      </c>
      <c r="T31" s="465" t="str">
        <f>$BF$6</f>
        <v>調理員</v>
      </c>
      <c r="U31" s="332" t="s">
        <v>944</v>
      </c>
      <c r="V31" s="465" t="s">
        <v>874</v>
      </c>
      <c r="W31" s="465" t="b">
        <f>Q31</f>
        <v>1</v>
      </c>
      <c r="X31" s="463" t="s">
        <v>874</v>
      </c>
      <c r="Y31" s="425" t="s">
        <v>874</v>
      </c>
      <c r="Z31" s="968" t="s">
        <v>874</v>
      </c>
      <c r="AA31" s="968" t="s">
        <v>874</v>
      </c>
      <c r="AB31" s="968" t="s">
        <v>874</v>
      </c>
      <c r="AC31" s="424" t="s">
        <v>874</v>
      </c>
      <c r="AD31" s="468" t="s">
        <v>874</v>
      </c>
      <c r="AE31" s="469" t="s">
        <v>874</v>
      </c>
      <c r="AF31" s="465" t="s">
        <v>874</v>
      </c>
      <c r="AG31" s="465" t="s">
        <v>874</v>
      </c>
      <c r="AH31" s="465" t="s">
        <v>874</v>
      </c>
      <c r="AI31" s="431" t="s">
        <v>874</v>
      </c>
      <c r="AJ31" s="336" t="s">
        <v>874</v>
      </c>
      <c r="AL31" s="334"/>
      <c r="AQ31" s="338"/>
      <c r="AR31" s="312">
        <f t="shared" si="0"/>
        <v>24</v>
      </c>
      <c r="AS31" s="1049" t="str">
        <f>AR31&amp;" "&amp;IF(AU31&lt;&gt;"-",【様式2】職員名簿!B64&amp;"/"&amp;AT31&amp;"/"&amp;AU31,"")</f>
        <v xml:space="preserve">24 </v>
      </c>
      <c r="AT31" s="1049">
        <f>【様式2】職員名簿!E64</f>
        <v>0</v>
      </c>
      <c r="AU31" s="1049" t="str">
        <f>IF(【様式2】職員名簿!J64="エラー","-",【様式2】職員名簿!J64)</f>
        <v>-</v>
      </c>
      <c r="AV31" s="430">
        <f>IF($AT31="常勤",$AM$2,IF($AT31="非常勤",【様式2】職員名簿!G64,0))</f>
        <v>0</v>
      </c>
      <c r="AW31" s="330">
        <f>IF($AU31=AW$3,COUNTIF($AU$8:$AU31,AW$3),0)</f>
        <v>0</v>
      </c>
      <c r="AX31" s="331" t="str">
        <f t="shared" si="1"/>
        <v/>
      </c>
      <c r="AY31" s="332">
        <f>IF($AU31=AY$3,COUNTIF($AU$8:$AU31,AY$3),0)</f>
        <v>0</v>
      </c>
      <c r="AZ31" s="331" t="str">
        <f t="shared" si="2"/>
        <v/>
      </c>
      <c r="BA31" s="332">
        <f>IF($AU31=BA$3,COUNTIFS($AU$8:$AU31,BA$3,$AT$8:$AT31,BA$4),0)</f>
        <v>0</v>
      </c>
      <c r="BB31" s="331" t="str">
        <f t="shared" si="3"/>
        <v/>
      </c>
      <c r="BC31" s="431">
        <f>IF($AU31=BC$3,COUNTIF($AU$8:$AU31,BC$3),0)</f>
        <v>0</v>
      </c>
      <c r="BD31" s="331" t="str">
        <f t="shared" si="4"/>
        <v/>
      </c>
      <c r="BE31" s="312">
        <f>IF(OR($AU31=BE$3,$AU31=BE$4),COUNTIF($AU$8:$AU31,BE$3)+COUNTIF($AU$8:$AU31,BE$4),0)</f>
        <v>0</v>
      </c>
      <c r="BF31" s="331" t="str">
        <f t="shared" si="5"/>
        <v/>
      </c>
      <c r="BG31" s="312">
        <f>IF($AU31=BG$3,COUNTIF($AU$8:$AU31,BG$3),0)</f>
        <v>0</v>
      </c>
      <c r="BH31" s="331" t="str">
        <f t="shared" si="6"/>
        <v/>
      </c>
      <c r="BI31" s="312">
        <f>IF($AU31&lt;&gt;BI$3,COUNTIF($AU$8:$AU31,"&lt;&gt;"&amp;BI$3),0)</f>
        <v>0</v>
      </c>
      <c r="BJ31" s="331" t="str">
        <f t="shared" si="7"/>
        <v/>
      </c>
      <c r="BK31" s="954"/>
      <c r="BL31" s="954"/>
    </row>
    <row r="32" spans="1:64" s="310" customFormat="1" ht="15" customHeight="1">
      <c r="A32" s="2413"/>
      <c r="B32" s="2250"/>
      <c r="C32" s="2251"/>
      <c r="D32" s="2279" t="str">
        <f>IF(R31=1,"雇用",IF(R31=2,"委託","エラー"))</f>
        <v>エラー</v>
      </c>
      <c r="E32" s="980" t="str">
        <f>IF(W32,T32,"")</f>
        <v/>
      </c>
      <c r="F32" s="2244" t="str">
        <f>IF(Q32,"常勤換算"&amp;IF(B12&lt;=40,1,2)+IF(B19&gt;0,IF(【様式１】総括表・個票!AI63,0,1))&amp;"人","")</f>
        <v/>
      </c>
      <c r="G32" s="2245"/>
      <c r="H32" s="2245"/>
      <c r="I32" s="2245"/>
      <c r="J32" s="2245"/>
      <c r="K32" s="2246"/>
      <c r="L32" s="852" t="s">
        <v>1012</v>
      </c>
      <c r="M32" s="532" t="s">
        <v>1015</v>
      </c>
      <c r="N32" s="676" t="str">
        <f t="shared" si="24"/>
        <v>×</v>
      </c>
      <c r="O32" s="2229"/>
      <c r="P32" s="335"/>
      <c r="Q32" s="677" t="b">
        <f>R32</f>
        <v>0</v>
      </c>
      <c r="R32" s="470" t="b">
        <f>R31=1</f>
        <v>0</v>
      </c>
      <c r="S32" s="470" t="b">
        <f>$O$155&gt;=0</f>
        <v>1</v>
      </c>
      <c r="T32" s="465" t="s">
        <v>1013</v>
      </c>
      <c r="U32" s="332" t="s">
        <v>874</v>
      </c>
      <c r="V32" s="465" t="s">
        <v>874</v>
      </c>
      <c r="W32" s="467" t="b">
        <f>AND(Q32,R32)</f>
        <v>0</v>
      </c>
      <c r="X32" s="463" t="s">
        <v>1012</v>
      </c>
      <c r="Y32" s="425" t="s">
        <v>874</v>
      </c>
      <c r="Z32" s="968" t="s">
        <v>874</v>
      </c>
      <c r="AA32" s="968" t="s">
        <v>874</v>
      </c>
      <c r="AB32" s="968" t="s">
        <v>874</v>
      </c>
      <c r="AC32" s="424" t="s">
        <v>874</v>
      </c>
      <c r="AD32" s="468" t="s">
        <v>874</v>
      </c>
      <c r="AE32" s="469" t="s">
        <v>874</v>
      </c>
      <c r="AF32" s="465" t="s">
        <v>874</v>
      </c>
      <c r="AG32" s="465" t="s">
        <v>874</v>
      </c>
      <c r="AH32" s="465" t="s">
        <v>874</v>
      </c>
      <c r="AI32" s="431" t="s">
        <v>874</v>
      </c>
      <c r="AJ32" s="336" t="s">
        <v>874</v>
      </c>
      <c r="AL32" s="334"/>
      <c r="AQ32" s="338"/>
      <c r="AR32" s="312">
        <f t="shared" si="0"/>
        <v>25</v>
      </c>
      <c r="AS32" s="1049" t="str">
        <f>AR32&amp;" "&amp;IF(AU32&lt;&gt;"-",【様式2】職員名簿!B65&amp;"/"&amp;AT32&amp;"/"&amp;AU32,"")</f>
        <v xml:space="preserve">25 </v>
      </c>
      <c r="AT32" s="1049">
        <f>【様式2】職員名簿!E65</f>
        <v>0</v>
      </c>
      <c r="AU32" s="1049" t="str">
        <f>IF(【様式2】職員名簿!J65="エラー","-",【様式2】職員名簿!J65)</f>
        <v>-</v>
      </c>
      <c r="AV32" s="430">
        <f>IF($AT32="常勤",$AM$2,IF($AT32="非常勤",【様式2】職員名簿!G65,0))</f>
        <v>0</v>
      </c>
      <c r="AW32" s="330">
        <f>IF($AU32=AW$3,COUNTIF($AU$8:$AU32,AW$3),0)</f>
        <v>0</v>
      </c>
      <c r="AX32" s="331" t="str">
        <f t="shared" si="1"/>
        <v/>
      </c>
      <c r="AY32" s="332">
        <f>IF($AU32=AY$3,COUNTIF($AU$8:$AU32,AY$3),0)</f>
        <v>0</v>
      </c>
      <c r="AZ32" s="331" t="str">
        <f t="shared" si="2"/>
        <v/>
      </c>
      <c r="BA32" s="332">
        <f>IF($AU32=BA$3,COUNTIFS($AU$8:$AU32,BA$3,$AT$8:$AT32,BA$4),0)</f>
        <v>0</v>
      </c>
      <c r="BB32" s="331" t="str">
        <f t="shared" si="3"/>
        <v/>
      </c>
      <c r="BC32" s="431">
        <f>IF($AU32=BC$3,COUNTIF($AU$8:$AU32,BC$3),0)</f>
        <v>0</v>
      </c>
      <c r="BD32" s="331" t="str">
        <f t="shared" si="4"/>
        <v/>
      </c>
      <c r="BE32" s="312">
        <f>IF(OR($AU32=BE$3,$AU32=BE$4),COUNTIF($AU$8:$AU32,BE$3)+COUNTIF($AU$8:$AU32,BE$4),0)</f>
        <v>0</v>
      </c>
      <c r="BF32" s="331" t="str">
        <f t="shared" si="5"/>
        <v/>
      </c>
      <c r="BG32" s="312">
        <f>IF($AU32=BG$3,COUNTIF($AU$8:$AU32,BG$3),0)</f>
        <v>0</v>
      </c>
      <c r="BH32" s="331" t="str">
        <f t="shared" si="6"/>
        <v/>
      </c>
      <c r="BI32" s="312">
        <f>IF($AU32&lt;&gt;BI$3,COUNTIF($AU$8:$AU32,"&lt;&gt;"&amp;BI$3),0)</f>
        <v>0</v>
      </c>
      <c r="BJ32" s="331" t="str">
        <f t="shared" si="7"/>
        <v/>
      </c>
      <c r="BK32" s="954"/>
      <c r="BL32" s="954"/>
    </row>
    <row r="33" spans="1:64" s="310" customFormat="1" ht="15" customHeight="1">
      <c r="A33" s="2413"/>
      <c r="B33" s="2250"/>
      <c r="C33" s="2251"/>
      <c r="D33" s="2279"/>
      <c r="E33" s="980" t="str">
        <f>IF(W33,T33,"")</f>
        <v/>
      </c>
      <c r="F33" s="2323"/>
      <c r="G33" s="2323"/>
      <c r="H33" s="2323"/>
      <c r="I33" s="835" t="str">
        <f>IF(OR(NOT(W33),U33=0),"",U33)</f>
        <v/>
      </c>
      <c r="J33" s="529" t="str">
        <f>IF(OR(F33=0,F33=""),"",IF(W33,IF(X33,IF(OR(Y33,V33=3),IF(AD33,IF(OR(AE33,V33=2,V33=3),"○","要常勤"),"時間無"),"重複"),"名簿無"),"対象外"))</f>
        <v/>
      </c>
      <c r="K33" s="830" t="s">
        <v>916</v>
      </c>
      <c r="L33" s="852" t="str">
        <f>IF(AI33=1,"調整①→",IF(AI33=5,"調整②→",IF(AI33=2,"",IF(AI33=3,"全計上→","エラー"))))</f>
        <v/>
      </c>
      <c r="M33" s="532">
        <f>IF(OR(AND(J33&lt;&gt;"",J33&lt;&gt;"○"),AI33=4),"×",IF(J33="",0,AJ33/$AM$2))</f>
        <v>0</v>
      </c>
      <c r="N33" s="676" t="str">
        <f t="shared" si="24"/>
        <v>×</v>
      </c>
      <c r="O33" s="2229"/>
      <c r="P33" s="335"/>
      <c r="Q33" s="677" t="b">
        <f>R33</f>
        <v>0</v>
      </c>
      <c r="R33" s="470" t="b">
        <f>AND(R31=1,B12&gt;=151)</f>
        <v>0</v>
      </c>
      <c r="S33" s="470" t="b">
        <f>AND(J33="○",$O$155&gt;=0)</f>
        <v>0</v>
      </c>
      <c r="T33" s="465" t="str">
        <f>$BF$6</f>
        <v>調理員</v>
      </c>
      <c r="U33" s="332">
        <f>IFERROR(VLOOKUP($F33,$AS$8:$AV$111,4,FALSE),0)</f>
        <v>0</v>
      </c>
      <c r="V33" s="465">
        <v>2</v>
      </c>
      <c r="W33" s="467" t="b">
        <f t="shared" ref="W33:W34" si="25">AND(Q33,R33)</f>
        <v>0</v>
      </c>
      <c r="X33" s="463" t="b">
        <f t="shared" ref="X33" ca="1" si="26">COUNTIF(INDIRECT(T33),F33)&gt;0</f>
        <v>0</v>
      </c>
      <c r="Y33" s="425" t="b">
        <f>COUNTIF($AC$25:AC32,AC33)+COUNTIF(AC34:$AC$124,AC33)-COUNTIF(Z33:AB33,AC33)=0</f>
        <v>0</v>
      </c>
      <c r="Z33" s="968" t="s">
        <v>874</v>
      </c>
      <c r="AA33" s="968" t="s">
        <v>874</v>
      </c>
      <c r="AB33" s="968" t="s">
        <v>874</v>
      </c>
      <c r="AC33" s="424">
        <f>IF(V33=3,0,IFERROR(INDEX($AR$8:$AR$111,MATCH($F33,AS$8:AS$111,0),1),0))</f>
        <v>0</v>
      </c>
      <c r="AD33" s="468" t="b">
        <f t="shared" ref="AD33" si="27">U33&gt;0</f>
        <v>0</v>
      </c>
      <c r="AE33" s="469" t="b">
        <f>IFERROR(VLOOKUP($F33,$AS$8:$AV$111,2,FALSE),"")="常勤"</f>
        <v>0</v>
      </c>
      <c r="AF33" s="465" t="s">
        <v>874</v>
      </c>
      <c r="AG33" s="465" t="s">
        <v>874</v>
      </c>
      <c r="AH33" s="465">
        <v>1</v>
      </c>
      <c r="AI33" s="431">
        <f t="shared" ref="AI33:AI40" si="28">IF(AND($W33,$J33="○"),IF($K33="-",IF($U33&lt;IF($AH33=5,$AL$4,$AL$3),$AH33,2),IF($K33=0,IF($U33&lt;IF($AH33=5,$AL$4,$AL$3),IF(OR($AH33=1,$AH33=5),$AH33,3),3),IF(K33&lt;IF($AH33=5,$AL$4,$AL$3),$AH33,IF($K33&gt;$U33,4,2)))),2)</f>
        <v>2</v>
      </c>
      <c r="AJ33" s="336">
        <f t="shared" ref="AJ33:AJ40" si="29">IF(AI33=1,$AL$3,IF(AI33=5,$AL$4,IF(AI33=2,IF(K33="-",U33,K33),IF(AI33=3,U33,"×"))))</f>
        <v>0</v>
      </c>
      <c r="AL33" s="334"/>
      <c r="AN33" s="334"/>
      <c r="AO33" s="338"/>
      <c r="AP33" s="338"/>
      <c r="AQ33" s="338"/>
      <c r="AR33" s="312">
        <f t="shared" si="0"/>
        <v>26</v>
      </c>
      <c r="AS33" s="1049" t="str">
        <f>AR33&amp;" "&amp;IF(AU33&lt;&gt;"-",【様式2】職員名簿!B66&amp;"/"&amp;AT33&amp;"/"&amp;AU33,"")</f>
        <v xml:space="preserve">26 </v>
      </c>
      <c r="AT33" s="1049">
        <f>【様式2】職員名簿!E66</f>
        <v>0</v>
      </c>
      <c r="AU33" s="1049" t="str">
        <f>IF(【様式2】職員名簿!J66="エラー","-",【様式2】職員名簿!J66)</f>
        <v>-</v>
      </c>
      <c r="AV33" s="430">
        <f>IF($AT33="常勤",$AM$2,IF($AT33="非常勤",【様式2】職員名簿!G66,0))</f>
        <v>0</v>
      </c>
      <c r="AW33" s="330">
        <f>IF($AU33=AW$3,COUNTIF($AU$8:$AU33,AW$3),0)</f>
        <v>0</v>
      </c>
      <c r="AX33" s="331" t="str">
        <f t="shared" si="1"/>
        <v/>
      </c>
      <c r="AY33" s="332">
        <f>IF($AU33=AY$3,COUNTIF($AU$8:$AU33,AY$3),0)</f>
        <v>0</v>
      </c>
      <c r="AZ33" s="331" t="str">
        <f t="shared" si="2"/>
        <v/>
      </c>
      <c r="BA33" s="332">
        <f>IF($AU33=BA$3,COUNTIFS($AU$8:$AU33,BA$3,$AT$8:$AT33,BA$4),0)</f>
        <v>0</v>
      </c>
      <c r="BB33" s="331" t="str">
        <f t="shared" si="3"/>
        <v/>
      </c>
      <c r="BC33" s="431">
        <f>IF($AU33=BC$3,COUNTIF($AU$8:$AU33,BC$3),0)</f>
        <v>0</v>
      </c>
      <c r="BD33" s="331" t="str">
        <f t="shared" si="4"/>
        <v/>
      </c>
      <c r="BE33" s="312">
        <f>IF(OR($AU33=BE$3,$AU33=BE$4),COUNTIF($AU$8:$AU33,BE$3)+COUNTIF($AU$8:$AU33,BE$4),0)</f>
        <v>0</v>
      </c>
      <c r="BF33" s="331" t="str">
        <f t="shared" si="5"/>
        <v/>
      </c>
      <c r="BG33" s="312">
        <f>IF($AU33=BG$3,COUNTIF($AU$8:$AU33,BG$3),0)</f>
        <v>0</v>
      </c>
      <c r="BH33" s="331" t="str">
        <f t="shared" si="6"/>
        <v/>
      </c>
      <c r="BI33" s="312">
        <f>IF($AU33&lt;&gt;BI$3,COUNTIF($AU$8:$AU33,"&lt;&gt;"&amp;BI$3),0)</f>
        <v>0</v>
      </c>
      <c r="BJ33" s="331" t="str">
        <f t="shared" si="7"/>
        <v/>
      </c>
      <c r="BK33" s="954"/>
      <c r="BL33" s="954"/>
    </row>
    <row r="34" spans="1:64" ht="15" customHeight="1">
      <c r="A34" s="2413"/>
      <c r="B34" s="2252"/>
      <c r="C34" s="2253"/>
      <c r="D34" s="2280"/>
      <c r="E34" s="980" t="str">
        <f>IF(W34,T34,"")</f>
        <v/>
      </c>
      <c r="F34" s="2622" t="str">
        <f>IF(W34,BL9,"")</f>
        <v/>
      </c>
      <c r="G34" s="2622"/>
      <c r="H34" s="2622"/>
      <c r="I34" s="835" t="str">
        <f>IF(OR(NOT(W34),U34=0),"",U34)</f>
        <v/>
      </c>
      <c r="J34" s="529" t="str">
        <f t="shared" ref="J34" si="30">IF(OR(F34=0,F34=""),"",IF(W34,IF(X34,IF(OR(Y34,V34=3),IF(AD34,IF(OR(AE34,V34=2,V34=3),"○","要常勤"),"時間無"),"重複"),"名簿無"),"対象外"))</f>
        <v/>
      </c>
      <c r="K34" s="830" t="s">
        <v>873</v>
      </c>
      <c r="L34" s="852" t="s">
        <v>1011</v>
      </c>
      <c r="M34" s="532" t="s">
        <v>1012</v>
      </c>
      <c r="N34" s="676" t="str">
        <f t="shared" si="24"/>
        <v>×</v>
      </c>
      <c r="O34" s="2230"/>
      <c r="P34" s="335"/>
      <c r="Q34" s="584" t="b">
        <f>R34</f>
        <v>0</v>
      </c>
      <c r="R34" s="465" t="b">
        <f>R31=2</f>
        <v>0</v>
      </c>
      <c r="S34" s="967" t="b">
        <f>AND(J34="○",$O$155&gt;=0)</f>
        <v>0</v>
      </c>
      <c r="T34" s="465" t="str">
        <f>$BL$6</f>
        <v>業務委託</v>
      </c>
      <c r="U34" s="788">
        <f>BM9</f>
        <v>0</v>
      </c>
      <c r="V34" s="465">
        <v>3</v>
      </c>
      <c r="W34" s="467" t="b">
        <f t="shared" si="25"/>
        <v>0</v>
      </c>
      <c r="X34" s="463" t="b">
        <f t="shared" ref="X34" ca="1" si="31">COUNTIF(INDIRECT(T34),F34)&gt;0</f>
        <v>0</v>
      </c>
      <c r="Y34" s="425" t="b">
        <f>COUNTIF($AC$25:AC33,AC34)+COUNTIF(AC35:$AC$124,AC34)-COUNTIF(Z34:AB34,AC34)=0</f>
        <v>0</v>
      </c>
      <c r="Z34" s="968" t="s">
        <v>874</v>
      </c>
      <c r="AA34" s="968" t="s">
        <v>874</v>
      </c>
      <c r="AB34" s="968" t="s">
        <v>874</v>
      </c>
      <c r="AC34" s="424">
        <f>IF(V34=3,0,IFERROR(INDEX($AR$8:$AR$111,MATCH($F34,AS$8:AS$111,0),1),0))</f>
        <v>0</v>
      </c>
      <c r="AD34" s="468" t="b">
        <f t="shared" ref="AD34" si="32">U34&gt;0</f>
        <v>0</v>
      </c>
      <c r="AE34" s="469" t="b">
        <f>IFERROR(VLOOKUP($F34,$AS$8:$AV$111,2,FALSE),"")="常勤"</f>
        <v>0</v>
      </c>
      <c r="AF34" s="465" t="s">
        <v>874</v>
      </c>
      <c r="AG34" s="465" t="s">
        <v>874</v>
      </c>
      <c r="AH34" s="465">
        <v>2</v>
      </c>
      <c r="AI34" s="431">
        <f t="shared" ref="AI34" si="33">IF(AND($W34,$J34="○"),IF($K34="-",IF($U34&lt;IF($AH34=5,$AL$4,$AL$3),$AH34,2),IF($K34=0,IF($U34&lt;IF($AH34=5,$AL$4,$AL$3),IF(OR($AH34=1,$AH34=5),$AH34,3),3),IF(K34&lt;IF($AH34=5,$AL$4,$AL$3),$AH34,IF($K34&gt;$U34,4,2)))),2)</f>
        <v>2</v>
      </c>
      <c r="AJ34" s="336">
        <f t="shared" ref="AJ34" si="34">IF(AI34=1,$AL$3,IF(AI34=5,$AL$4,IF(AI34=2,IF(K34="-",U34,K34),IF(AI34=3,U34,"×"))))</f>
        <v>0</v>
      </c>
      <c r="AK34" s="310"/>
      <c r="AM34" s="310"/>
      <c r="AO34" s="339"/>
      <c r="AP34" s="339"/>
      <c r="AQ34" s="338"/>
      <c r="AR34" s="312">
        <f t="shared" si="0"/>
        <v>27</v>
      </c>
      <c r="AS34" s="1049" t="str">
        <f>AR34&amp;" "&amp;IF(AU34&lt;&gt;"-",【様式2】職員名簿!B67&amp;"/"&amp;AT34&amp;"/"&amp;AU34,"")</f>
        <v xml:space="preserve">27 </v>
      </c>
      <c r="AT34" s="1049">
        <f>【様式2】職員名簿!E67</f>
        <v>0</v>
      </c>
      <c r="AU34" s="1049" t="str">
        <f>IF(【様式2】職員名簿!J67="エラー","-",【様式2】職員名簿!J67)</f>
        <v>-</v>
      </c>
      <c r="AV34" s="430">
        <f>IF($AT34="常勤",$AM$2,IF($AT34="非常勤",【様式2】職員名簿!G67,0))</f>
        <v>0</v>
      </c>
      <c r="AW34" s="330">
        <f>IF($AU34=AW$3,COUNTIF($AU$8:$AU34,AW$3),0)</f>
        <v>0</v>
      </c>
      <c r="AX34" s="331" t="str">
        <f t="shared" si="1"/>
        <v/>
      </c>
      <c r="AY34" s="332">
        <f>IF($AU34=AY$3,COUNTIF($AU$8:$AU34,AY$3),0)</f>
        <v>0</v>
      </c>
      <c r="AZ34" s="331" t="str">
        <f t="shared" si="2"/>
        <v/>
      </c>
      <c r="BA34" s="332">
        <f>IF($AU34=BA$3,COUNTIFS($AU$8:$AU34,BA$3,$AT$8:$AT34,BA$4),0)</f>
        <v>0</v>
      </c>
      <c r="BB34" s="331" t="str">
        <f t="shared" si="3"/>
        <v/>
      </c>
      <c r="BC34" s="431">
        <f>IF($AU34=BC$3,COUNTIF($AU$8:$AU34,BC$3),0)</f>
        <v>0</v>
      </c>
      <c r="BD34" s="331" t="str">
        <f t="shared" si="4"/>
        <v/>
      </c>
      <c r="BE34" s="312">
        <f>IF(OR($AU34=BE$3,$AU34=BE$4),COUNTIF($AU$8:$AU34,BE$3)+COUNTIF($AU$8:$AU34,BE$4),0)</f>
        <v>0</v>
      </c>
      <c r="BF34" s="331" t="str">
        <f t="shared" si="5"/>
        <v/>
      </c>
      <c r="BG34" s="312">
        <f>IF($AU34=BG$3,COUNTIF($AU$8:$AU34,BG$3),0)</f>
        <v>0</v>
      </c>
      <c r="BH34" s="331" t="str">
        <f t="shared" si="6"/>
        <v/>
      </c>
      <c r="BI34" s="312">
        <f>IF($AU34&lt;&gt;BI$3,COUNTIF($AU$8:$AU34,"&lt;&gt;"&amp;BI$3),0)</f>
        <v>0</v>
      </c>
      <c r="BJ34" s="331" t="str">
        <f t="shared" si="7"/>
        <v/>
      </c>
      <c r="BK34" s="954"/>
      <c r="BL34" s="954"/>
    </row>
    <row r="35" spans="1:64" ht="15" customHeight="1">
      <c r="A35" s="2413"/>
      <c r="B35" s="2248" t="s">
        <v>423</v>
      </c>
      <c r="C35" s="2249"/>
      <c r="D35" s="2302" t="str">
        <f t="shared" ref="D35" si="35">IF(W35,T35,"")</f>
        <v>事務員</v>
      </c>
      <c r="E35" s="2303"/>
      <c r="F35" s="2238" t="str">
        <f>IF(R35=1,"本園：非常勤１名"&amp;IF(B19&gt;0,"／分園：非常勤１名（又は本園・分園併せて常勤１名）",""),IF(R35=2,"本園：兼務１名"&amp;IF(B19&gt;0,"／分園：兼務１名",""),IF(R35=3,"業務委託","エラー：個票0を見直すこと")))</f>
        <v>エラー：個票0を見直すこと</v>
      </c>
      <c r="G35" s="2239"/>
      <c r="H35" s="2239"/>
      <c r="I35" s="2239"/>
      <c r="J35" s="2239"/>
      <c r="K35" s="2240"/>
      <c r="L35" s="853" t="s">
        <v>873</v>
      </c>
      <c r="M35" s="854" t="s">
        <v>873</v>
      </c>
      <c r="N35" s="536" t="str">
        <f t="shared" si="24"/>
        <v>○</v>
      </c>
      <c r="O35" s="2228" t="str">
        <f>IF(Q35,IF(S35,"○","×"),"-")</f>
        <v>×</v>
      </c>
      <c r="P35" s="335"/>
      <c r="Q35" s="729" t="b">
        <f>TRUE()</f>
        <v>1</v>
      </c>
      <c r="R35" s="465">
        <f>IF(【様式１】総括表・個票!AI57,1,IF(【様式１】総括表・個票!AI58,2,IF(【様式１】総括表・個票!AI59,3,0)))</f>
        <v>0</v>
      </c>
      <c r="S35" s="470" t="b">
        <f>AND($O$157&gt;=0,IF(Q36,S36,TRUE),IF(Q37,S37,TRUE),IF(Q38,S38,TRUE),IF(Q39,S39,TRUE),IF(Q40,S40,TRUE),OR(Q36,Q37,Q38,Q39,Q40))</f>
        <v>0</v>
      </c>
      <c r="T35" s="465" t="str">
        <f>$BH$6</f>
        <v>事務員</v>
      </c>
      <c r="U35" s="788" t="s">
        <v>1014</v>
      </c>
      <c r="V35" s="465" t="s">
        <v>1012</v>
      </c>
      <c r="W35" s="465" t="b">
        <f>Q35</f>
        <v>1</v>
      </c>
      <c r="X35" s="463" t="s">
        <v>1012</v>
      </c>
      <c r="Y35" s="425" t="s">
        <v>1012</v>
      </c>
      <c r="Z35" s="1063" t="s">
        <v>874</v>
      </c>
      <c r="AA35" s="968" t="s">
        <v>874</v>
      </c>
      <c r="AB35" s="968" t="s">
        <v>874</v>
      </c>
      <c r="AC35" s="971" t="s">
        <v>874</v>
      </c>
      <c r="AD35" s="468" t="s">
        <v>874</v>
      </c>
      <c r="AE35" s="469" t="s">
        <v>874</v>
      </c>
      <c r="AF35" s="465" t="s">
        <v>874</v>
      </c>
      <c r="AG35" s="465" t="s">
        <v>874</v>
      </c>
      <c r="AH35" s="465" t="s">
        <v>874</v>
      </c>
      <c r="AI35" s="431" t="s">
        <v>874</v>
      </c>
      <c r="AJ35" s="336" t="s">
        <v>874</v>
      </c>
      <c r="AK35" s="310"/>
      <c r="AO35" s="339"/>
      <c r="AP35" s="339"/>
      <c r="AQ35" s="338"/>
      <c r="AR35" s="312">
        <f t="shared" si="0"/>
        <v>28</v>
      </c>
      <c r="AS35" s="1049" t="str">
        <f>AR35&amp;" "&amp;IF(AU35&lt;&gt;"-",【様式2】職員名簿!B68&amp;"/"&amp;AT35&amp;"/"&amp;AU35,"")</f>
        <v xml:space="preserve">28 </v>
      </c>
      <c r="AT35" s="1049">
        <f>【様式2】職員名簿!E68</f>
        <v>0</v>
      </c>
      <c r="AU35" s="1049" t="str">
        <f>IF(【様式2】職員名簿!J68="エラー","-",【様式2】職員名簿!J68)</f>
        <v>-</v>
      </c>
      <c r="AV35" s="430">
        <f>IF($AT35="常勤",$AM$2,IF($AT35="非常勤",【様式2】職員名簿!G68,0))</f>
        <v>0</v>
      </c>
      <c r="AW35" s="330">
        <f>IF($AU35=AW$3,COUNTIF($AU$8:$AU35,AW$3),0)</f>
        <v>0</v>
      </c>
      <c r="AX35" s="331" t="str">
        <f t="shared" si="1"/>
        <v/>
      </c>
      <c r="AY35" s="332">
        <f>IF($AU35=AY$3,COUNTIF($AU$8:$AU35,AY$3),0)</f>
        <v>0</v>
      </c>
      <c r="AZ35" s="331" t="str">
        <f t="shared" si="2"/>
        <v/>
      </c>
      <c r="BA35" s="332">
        <f>IF($AU35=BA$3,COUNTIFS($AU$8:$AU35,BA$3,$AT$8:$AT35,BA$4),0)</f>
        <v>0</v>
      </c>
      <c r="BB35" s="331" t="str">
        <f t="shared" si="3"/>
        <v/>
      </c>
      <c r="BC35" s="431">
        <f>IF($AU35=BC$3,COUNTIF($AU$8:$AU35,BC$3),0)</f>
        <v>0</v>
      </c>
      <c r="BD35" s="331" t="str">
        <f t="shared" si="4"/>
        <v/>
      </c>
      <c r="BE35" s="312">
        <f>IF(OR($AU35=BE$3,$AU35=BE$4),COUNTIF($AU$8:$AU35,BE$3)+COUNTIF($AU$8:$AU35,BE$4),0)</f>
        <v>0</v>
      </c>
      <c r="BF35" s="331" t="str">
        <f t="shared" si="5"/>
        <v/>
      </c>
      <c r="BG35" s="312">
        <f>IF($AU35=BG$3,COUNTIF($AU$8:$AU35,BG$3),0)</f>
        <v>0</v>
      </c>
      <c r="BH35" s="331" t="str">
        <f t="shared" si="6"/>
        <v/>
      </c>
      <c r="BI35" s="312">
        <f>IF($AU35&lt;&gt;BI$3,COUNTIF($AU$8:$AU35,"&lt;&gt;"&amp;BI$3),0)</f>
        <v>0</v>
      </c>
      <c r="BJ35" s="331" t="str">
        <f t="shared" si="7"/>
        <v/>
      </c>
      <c r="BK35" s="954"/>
      <c r="BL35" s="954"/>
    </row>
    <row r="36" spans="1:64" ht="15" customHeight="1">
      <c r="A36" s="2413"/>
      <c r="B36" s="2250"/>
      <c r="C36" s="2251"/>
      <c r="D36" s="2279" t="str">
        <f>IF(R35=1,"専任",IF(R35=2,"兼務",IF(R35=3,"委託","エラー")))</f>
        <v>エラー</v>
      </c>
      <c r="E36" s="789" t="str">
        <f>IF(W36,T36,"")</f>
        <v/>
      </c>
      <c r="F36" s="2268"/>
      <c r="G36" s="2278"/>
      <c r="H36" s="2278"/>
      <c r="I36" s="837" t="str">
        <f>IF(OR(NOT(W36),U36=0),"",U36)</f>
        <v/>
      </c>
      <c r="J36" s="984" t="str">
        <f t="shared" ref="J36:J37" si="36">IF(OR(F36=0,F36=""),"",IF(W36,IF(X36,IF(OR(Y36,V36=3),IF(AD36,IF(OR(AE36,V36=2,V36=3),"○","要常勤"),"時間無"),"重複"),"名簿無"),"対象外"))</f>
        <v/>
      </c>
      <c r="K36" s="801" t="s">
        <v>917</v>
      </c>
      <c r="L36" s="848" t="str">
        <f>IF(AI36=1,"調整①→",IF(AI36=5,"調整②→",IF(AI36=2,"",IF(AI36=3,"全計上→","エラー"))))</f>
        <v/>
      </c>
      <c r="M36" s="576">
        <f>IF(OR(AND(J36&lt;&gt;"",J36&lt;&gt;"○"),AI36=4),"×",IF(J36="",0,AJ36/$AM$2))</f>
        <v>0</v>
      </c>
      <c r="N36" s="675" t="str">
        <f t="shared" si="24"/>
        <v>×</v>
      </c>
      <c r="O36" s="2229"/>
      <c r="P36" s="335"/>
      <c r="Q36" s="584" t="b">
        <f>R36</f>
        <v>0</v>
      </c>
      <c r="R36" s="465" t="b">
        <f>R35=1</f>
        <v>0</v>
      </c>
      <c r="S36" s="967" t="b">
        <f>AND(J36="○",$O$157&gt;=0)</f>
        <v>0</v>
      </c>
      <c r="T36" s="465" t="str">
        <f>$BH$6</f>
        <v>事務員</v>
      </c>
      <c r="U36" s="332">
        <f>IFERROR(VLOOKUP($F36,$AS$8:$AV$111,4,FALSE),0)</f>
        <v>0</v>
      </c>
      <c r="V36" s="465">
        <v>2</v>
      </c>
      <c r="W36" s="465" t="b">
        <f>AND(R36,NOT(AE37))</f>
        <v>0</v>
      </c>
      <c r="X36" s="463" t="b">
        <f ca="1">COUNTIF(INDIRECT(T36),F36)&gt;0</f>
        <v>0</v>
      </c>
      <c r="Y36" s="425" t="b">
        <f>COUNTIF($AC$25:AC35,AC36)+COUNTIF(AC37:$AC$124,AC36)-COUNTIF(Z36:AB36,AC36)=0</f>
        <v>0</v>
      </c>
      <c r="Z36" s="968">
        <f>AC66</f>
        <v>0</v>
      </c>
      <c r="AA36" s="968" t="s">
        <v>874</v>
      </c>
      <c r="AB36" s="968" t="s">
        <v>874</v>
      </c>
      <c r="AC36" s="971">
        <f>IF(V36=3,0,IFERROR(INDEX($AR$8:$AR$111,MATCH($F36,AS$8:AS$111,0),1),0))</f>
        <v>0</v>
      </c>
      <c r="AD36" s="431" t="b">
        <f>U36&gt;0</f>
        <v>0</v>
      </c>
      <c r="AE36" s="430" t="b">
        <f>IFERROR(VLOOKUP($F36,$AS$8:$AV$111,2,FALSE),"")="常勤"</f>
        <v>0</v>
      </c>
      <c r="AF36" s="465" t="s">
        <v>874</v>
      </c>
      <c r="AG36" s="465" t="s">
        <v>874</v>
      </c>
      <c r="AH36" s="465">
        <v>1</v>
      </c>
      <c r="AI36" s="431">
        <f t="shared" si="28"/>
        <v>2</v>
      </c>
      <c r="AJ36" s="336">
        <f t="shared" si="29"/>
        <v>0</v>
      </c>
      <c r="AK36" s="310"/>
      <c r="AM36" s="310"/>
      <c r="AN36" s="310"/>
      <c r="AO36" s="338"/>
      <c r="AP36" s="338"/>
      <c r="AQ36" s="338"/>
      <c r="AR36" s="312">
        <f t="shared" si="0"/>
        <v>29</v>
      </c>
      <c r="AS36" s="1049" t="str">
        <f>AR36&amp;" "&amp;IF(AU36&lt;&gt;"-",【様式2】職員名簿!B69&amp;"/"&amp;AT36&amp;"/"&amp;AU36,"")</f>
        <v xml:space="preserve">29 </v>
      </c>
      <c r="AT36" s="1049">
        <f>【様式2】職員名簿!E69</f>
        <v>0</v>
      </c>
      <c r="AU36" s="1049" t="str">
        <f>IF(【様式2】職員名簿!J69="エラー","-",【様式2】職員名簿!J69)</f>
        <v>-</v>
      </c>
      <c r="AV36" s="430">
        <f>IF($AT36="常勤",$AM$2,IF($AT36="非常勤",【様式2】職員名簿!G69,0))</f>
        <v>0</v>
      </c>
      <c r="AW36" s="330">
        <f>IF($AU36=AW$3,COUNTIF($AU$8:$AU36,AW$3),0)</f>
        <v>0</v>
      </c>
      <c r="AX36" s="331" t="str">
        <f t="shared" si="1"/>
        <v/>
      </c>
      <c r="AY36" s="332">
        <f>IF($AU36=AY$3,COUNTIF($AU$8:$AU36,AY$3),0)</f>
        <v>0</v>
      </c>
      <c r="AZ36" s="331" t="str">
        <f t="shared" si="2"/>
        <v/>
      </c>
      <c r="BA36" s="332">
        <f>IF($AU36=BA$3,COUNTIFS($AU$8:$AU36,BA$3,$AT$8:$AT36,BA$4),0)</f>
        <v>0</v>
      </c>
      <c r="BB36" s="331" t="str">
        <f t="shared" si="3"/>
        <v/>
      </c>
      <c r="BC36" s="431">
        <f>IF($AU36=BC$3,COUNTIF($AU$8:$AU36,BC$3),0)</f>
        <v>0</v>
      </c>
      <c r="BD36" s="331" t="str">
        <f t="shared" si="4"/>
        <v/>
      </c>
      <c r="BE36" s="312">
        <f>IF(OR($AU36=BE$3,$AU36=BE$4),COUNTIF($AU$8:$AU36,BE$3)+COUNTIF($AU$8:$AU36,BE$4),0)</f>
        <v>0</v>
      </c>
      <c r="BF36" s="331" t="str">
        <f t="shared" si="5"/>
        <v/>
      </c>
      <c r="BG36" s="312">
        <f>IF($AU36=BG$3,COUNTIF($AU$8:$AU36,BG$3),0)</f>
        <v>0</v>
      </c>
      <c r="BH36" s="331" t="str">
        <f t="shared" si="6"/>
        <v/>
      </c>
      <c r="BI36" s="312">
        <f>IF($AU36&lt;&gt;BI$3,COUNTIF($AU$8:$AU36,"&lt;&gt;"&amp;BI$3),0)</f>
        <v>0</v>
      </c>
      <c r="BJ36" s="331" t="str">
        <f t="shared" si="7"/>
        <v/>
      </c>
      <c r="BK36" s="954"/>
      <c r="BL36" s="954"/>
    </row>
    <row r="37" spans="1:64" ht="15" customHeight="1">
      <c r="A37" s="2413"/>
      <c r="B37" s="2250"/>
      <c r="C37" s="2251"/>
      <c r="D37" s="2279"/>
      <c r="E37" s="747" t="str">
        <f t="shared" ref="E37:E40" si="37">IF(W37,T37,"")</f>
        <v/>
      </c>
      <c r="F37" s="2268"/>
      <c r="G37" s="2278"/>
      <c r="H37" s="2278"/>
      <c r="I37" s="837" t="str">
        <f>IF(OR(NOT(W37),U37=0),"",U37)</f>
        <v/>
      </c>
      <c r="J37" s="984" t="str">
        <f t="shared" si="36"/>
        <v/>
      </c>
      <c r="K37" s="801" t="s">
        <v>873</v>
      </c>
      <c r="L37" s="848" t="str">
        <f>IF(AI37=1,"調整①→",IF(AI37=5,"調整②→",IF(AI37=2,"",IF(AI37=3,"全計上→","エラー"))))</f>
        <v/>
      </c>
      <c r="M37" s="576">
        <f t="shared" ref="M37:M39" si="38">IF(OR(AND(J37&lt;&gt;"",J37&lt;&gt;"○"),AI37=4),"×",IF(J37="",0,AJ37/$AM$2))</f>
        <v>0</v>
      </c>
      <c r="N37" s="537" t="str">
        <f t="shared" si="24"/>
        <v>×</v>
      </c>
      <c r="O37" s="2229"/>
      <c r="P37" s="335"/>
      <c r="Q37" s="584" t="b">
        <f t="shared" ref="Q37:Q40" si="39">R37</f>
        <v>0</v>
      </c>
      <c r="R37" s="465" t="b">
        <f>AND(R35=1,B19&gt;0,NOT(AE36))</f>
        <v>0</v>
      </c>
      <c r="S37" s="967" t="b">
        <f>AND(J37="○",$O$157&gt;=0)</f>
        <v>0</v>
      </c>
      <c r="T37" s="465" t="str">
        <f>$BH$6</f>
        <v>事務員</v>
      </c>
      <c r="U37" s="332">
        <f>IFERROR(VLOOKUP($F37,$AS$8:$AV$111,4,FALSE),0)</f>
        <v>0</v>
      </c>
      <c r="V37" s="465">
        <v>2</v>
      </c>
      <c r="W37" s="465" t="b">
        <f>AND(R37,NOT(AE36))</f>
        <v>0</v>
      </c>
      <c r="X37" s="463" t="b">
        <f ca="1">COUNTIF(INDIRECT(T37),F37)&gt;0</f>
        <v>0</v>
      </c>
      <c r="Y37" s="425" t="b">
        <f>COUNTIF($AC$25:AC36,AC37)+COUNTIF(AC38:$AC$124,AC37)-COUNTIF(Z37:AB37,AC37)=0</f>
        <v>0</v>
      </c>
      <c r="Z37" s="968" t="s">
        <v>874</v>
      </c>
      <c r="AA37" s="968" t="s">
        <v>874</v>
      </c>
      <c r="AB37" s="968" t="s">
        <v>874</v>
      </c>
      <c r="AC37" s="424">
        <f>IF(V37=3,0,IFERROR(INDEX($AR$8:$AR$111,MATCH($F37,AS$8:AS$111,0),1),0))</f>
        <v>0</v>
      </c>
      <c r="AD37" s="431" t="b">
        <f>U37&gt;0</f>
        <v>0</v>
      </c>
      <c r="AE37" s="430" t="b">
        <f>IFERROR(VLOOKUP($F37,$AS$8:$AV$111,2,FALSE),"")="常勤"</f>
        <v>0</v>
      </c>
      <c r="AF37" s="465" t="s">
        <v>1012</v>
      </c>
      <c r="AG37" s="466" t="s">
        <v>1012</v>
      </c>
      <c r="AH37" s="465">
        <v>1</v>
      </c>
      <c r="AI37" s="431">
        <f t="shared" si="28"/>
        <v>2</v>
      </c>
      <c r="AJ37" s="336">
        <f t="shared" si="29"/>
        <v>0</v>
      </c>
      <c r="AM37" s="310"/>
      <c r="AN37" s="310"/>
      <c r="AO37" s="338"/>
      <c r="AP37" s="338"/>
      <c r="AQ37" s="338"/>
      <c r="AR37" s="312">
        <f t="shared" si="0"/>
        <v>30</v>
      </c>
      <c r="AS37" s="1049" t="str">
        <f>AR37&amp;" "&amp;IF(AU37&lt;&gt;"-",【様式2】職員名簿!B70&amp;"/"&amp;AT37&amp;"/"&amp;AU37,"")</f>
        <v xml:space="preserve">30 </v>
      </c>
      <c r="AT37" s="1049">
        <f>【様式2】職員名簿!E70</f>
        <v>0</v>
      </c>
      <c r="AU37" s="1049" t="str">
        <f>IF(【様式2】職員名簿!J70="エラー","-",【様式2】職員名簿!J70)</f>
        <v>-</v>
      </c>
      <c r="AV37" s="430">
        <f>IF($AT37="常勤",$AM$2,IF($AT37="非常勤",【様式2】職員名簿!G70,0))</f>
        <v>0</v>
      </c>
      <c r="AW37" s="330">
        <f>IF($AU37=AW$3,COUNTIF($AU$8:$AU37,AW$3),0)</f>
        <v>0</v>
      </c>
      <c r="AX37" s="331" t="str">
        <f t="shared" si="1"/>
        <v/>
      </c>
      <c r="AY37" s="332">
        <f>IF($AU37=AY$3,COUNTIF($AU$8:$AU37,AY$3),0)</f>
        <v>0</v>
      </c>
      <c r="AZ37" s="331" t="str">
        <f t="shared" si="2"/>
        <v/>
      </c>
      <c r="BA37" s="332">
        <f>IF($AU37=BA$3,COUNTIFS($AU$8:$AU37,BA$3,$AT$8:$AT37,BA$4),0)</f>
        <v>0</v>
      </c>
      <c r="BB37" s="331" t="str">
        <f t="shared" si="3"/>
        <v/>
      </c>
      <c r="BC37" s="431">
        <f>IF($AU37=BC$3,COUNTIF($AU$8:$AU37,BC$3),0)</f>
        <v>0</v>
      </c>
      <c r="BD37" s="331" t="str">
        <f t="shared" si="4"/>
        <v/>
      </c>
      <c r="BE37" s="312">
        <f>IF(OR($AU37=BE$3,$AU37=BE$4),COUNTIF($AU$8:$AU37,BE$3)+COUNTIF($AU$8:$AU37,BE$4),0)</f>
        <v>0</v>
      </c>
      <c r="BF37" s="331" t="str">
        <f t="shared" si="5"/>
        <v/>
      </c>
      <c r="BG37" s="312">
        <f>IF($AU37=BG$3,COUNTIF($AU$8:$AU37,BG$3),0)</f>
        <v>0</v>
      </c>
      <c r="BH37" s="331" t="str">
        <f t="shared" si="6"/>
        <v/>
      </c>
      <c r="BI37" s="312">
        <f>IF($AU37&lt;&gt;BI$3,COUNTIF($AU$8:$AU37,"&lt;&gt;"&amp;BI$3),0)</f>
        <v>0</v>
      </c>
      <c r="BJ37" s="331" t="str">
        <f t="shared" si="7"/>
        <v/>
      </c>
      <c r="BK37" s="954"/>
      <c r="BL37" s="954"/>
    </row>
    <row r="38" spans="1:64" ht="15" customHeight="1">
      <c r="A38" s="2413"/>
      <c r="B38" s="2250"/>
      <c r="C38" s="2251"/>
      <c r="D38" s="2279"/>
      <c r="E38" s="789" t="str">
        <f>IF(W38,T38,"")</f>
        <v/>
      </c>
      <c r="F38" s="2268"/>
      <c r="G38" s="2278"/>
      <c r="H38" s="2278"/>
      <c r="I38" s="837" t="str">
        <f>IF(OR(NOT(W38),U38=0),"",U38)</f>
        <v/>
      </c>
      <c r="J38" s="984" t="str">
        <f t="shared" ref="J38:J39" si="40">IF(OR(F38=0,F38=""),"",IF(W38,IF(X38,IF(OR(Y38,V38=3),IF(AD38,IF(OR(AE38,V38=2,V38=3),"○","要常勤"),"時間無"),"重複"),"名簿無"),"対象外"))</f>
        <v/>
      </c>
      <c r="K38" s="1030"/>
      <c r="L38" s="848" t="str">
        <f>IF(AI38=1,"調整①→",IF(AI38=5,"調整②→",IF(AI38=2,"",IF(AI38=3,"全計上→","エラー"))))</f>
        <v/>
      </c>
      <c r="M38" s="576">
        <f t="shared" si="38"/>
        <v>0</v>
      </c>
      <c r="N38" s="675" t="str">
        <f t="shared" si="24"/>
        <v>×</v>
      </c>
      <c r="O38" s="2229"/>
      <c r="P38" s="335"/>
      <c r="Q38" s="584" t="b">
        <f>R38</f>
        <v>0</v>
      </c>
      <c r="R38" s="465" t="b">
        <f>R35=2</f>
        <v>0</v>
      </c>
      <c r="S38" s="967" t="b">
        <f>AND(J38="○",$O$157&gt;=0)</f>
        <v>0</v>
      </c>
      <c r="T38" s="465" t="str">
        <f>$BJ$6</f>
        <v>全職種</v>
      </c>
      <c r="U38" s="332">
        <f>IFERROR(VLOOKUP($F38,$AS$8:$AV$111,4,FALSE),0)</f>
        <v>0</v>
      </c>
      <c r="V38" s="465">
        <v>3</v>
      </c>
      <c r="W38" s="465" t="b">
        <f>R38</f>
        <v>0</v>
      </c>
      <c r="X38" s="463" t="b">
        <f ca="1">COUNTIF(INDIRECT(T38),F38)&gt;0</f>
        <v>0</v>
      </c>
      <c r="Y38" s="425" t="b">
        <f>COUNTIF($AC$25:AC37,AC38)+COUNTIF(AC39:$AC$124,AC38)-COUNTIF(Z38:AB38,AC38)=0</f>
        <v>0</v>
      </c>
      <c r="Z38" s="968">
        <f>AC39</f>
        <v>0</v>
      </c>
      <c r="AA38" s="968">
        <f>AC67</f>
        <v>0</v>
      </c>
      <c r="AB38" s="968" t="s">
        <v>874</v>
      </c>
      <c r="AC38" s="971">
        <f>IF(V38=3,0,IFERROR(INDEX($AR$8:$AR$111,MATCH($F38,AS$8:AS$111,0),1),0))</f>
        <v>0</v>
      </c>
      <c r="AD38" s="431" t="b">
        <f>U38&gt;0</f>
        <v>0</v>
      </c>
      <c r="AE38" s="430" t="b">
        <f>IFERROR(VLOOKUP($F38,$AS$8:$AV$111,2,FALSE),"")="常勤"</f>
        <v>0</v>
      </c>
      <c r="AF38" s="465" t="str">
        <f>IFERROR(VLOOKUP(F38,$AS$8:$AV$111,3,FALSE),"")</f>
        <v/>
      </c>
      <c r="AG38" s="466">
        <f>M38</f>
        <v>0</v>
      </c>
      <c r="AH38" s="465">
        <v>2</v>
      </c>
      <c r="AI38" s="431">
        <f t="shared" ref="AI38:AI39" si="41">IF(AND($W38,$J38="○"),IF($K38="-",IF($U38&lt;IF($AH38=5,$AL$4,$AL$3),$AH38,2),IF($K38=0,IF($U38&lt;IF($AH38=5,$AL$4,$AL$3),IF(OR($AH38=1,$AH38=5),$AH38,3),3),IF(K38&lt;IF($AH38=5,$AL$4,$AL$3),$AH38,IF($K38&gt;$U38,4,2)))),2)</f>
        <v>2</v>
      </c>
      <c r="AJ38" s="336">
        <f t="shared" ref="AJ38:AJ39" si="42">IF(AI38=1,$AL$3,IF(AI38=5,$AL$4,IF(AI38=2,IF(K38="-",U38,K38),IF(AI38=3,U38,"×"))))</f>
        <v>0</v>
      </c>
      <c r="AM38" s="310"/>
      <c r="AN38" s="310"/>
      <c r="AP38" s="338"/>
      <c r="AQ38" s="338"/>
      <c r="AR38" s="312">
        <f t="shared" si="0"/>
        <v>31</v>
      </c>
      <c r="AS38" s="1049" t="str">
        <f>AR38&amp;" "&amp;IF(AU38&lt;&gt;"-",【様式2】職員名簿!B71&amp;"/"&amp;AT38&amp;"/"&amp;AU38,"")</f>
        <v xml:space="preserve">31 </v>
      </c>
      <c r="AT38" s="1049">
        <f>【様式2】職員名簿!E71</f>
        <v>0</v>
      </c>
      <c r="AU38" s="1049" t="str">
        <f>IF(【様式2】職員名簿!J71="エラー","-",【様式2】職員名簿!J71)</f>
        <v>-</v>
      </c>
      <c r="AV38" s="430">
        <f>IF($AT38="常勤",$AM$2,IF($AT38="非常勤",【様式2】職員名簿!G71,0))</f>
        <v>0</v>
      </c>
      <c r="AW38" s="330">
        <f>IF($AU38=AW$3,COUNTIF($AU$8:$AU38,AW$3),0)</f>
        <v>0</v>
      </c>
      <c r="AX38" s="331" t="str">
        <f t="shared" si="1"/>
        <v/>
      </c>
      <c r="AY38" s="332">
        <f>IF($AU38=AY$3,COUNTIF($AU$8:$AU38,AY$3),0)</f>
        <v>0</v>
      </c>
      <c r="AZ38" s="331" t="str">
        <f t="shared" si="2"/>
        <v/>
      </c>
      <c r="BA38" s="332">
        <f>IF($AU38=BA$3,COUNTIFS($AU$8:$AU38,BA$3,$AT$8:$AT38,BA$4),0)</f>
        <v>0</v>
      </c>
      <c r="BB38" s="331" t="str">
        <f t="shared" si="3"/>
        <v/>
      </c>
      <c r="BC38" s="431">
        <f>IF($AU38=BC$3,COUNTIF($AU$8:$AU38,BC$3),0)</f>
        <v>0</v>
      </c>
      <c r="BD38" s="331" t="str">
        <f t="shared" si="4"/>
        <v/>
      </c>
      <c r="BE38" s="312">
        <f>IF(OR($AU38=BE$3,$AU38=BE$4),COUNTIF($AU$8:$AU38,BE$3)+COUNTIF($AU$8:$AU38,BE$4),0)</f>
        <v>0</v>
      </c>
      <c r="BF38" s="331" t="str">
        <f t="shared" si="5"/>
        <v/>
      </c>
      <c r="BG38" s="312">
        <f>IF($AU38=BG$3,COUNTIF($AU$8:$AU38,BG$3),0)</f>
        <v>0</v>
      </c>
      <c r="BH38" s="331" t="str">
        <f t="shared" si="6"/>
        <v/>
      </c>
      <c r="BI38" s="312">
        <f>IF($AU38&lt;&gt;BI$3,COUNTIF($AU$8:$AU38,"&lt;&gt;"&amp;BI$3),0)</f>
        <v>0</v>
      </c>
      <c r="BJ38" s="331" t="str">
        <f t="shared" si="7"/>
        <v/>
      </c>
      <c r="BK38" s="954"/>
      <c r="BL38" s="954"/>
    </row>
    <row r="39" spans="1:64" ht="15" customHeight="1">
      <c r="A39" s="2413"/>
      <c r="B39" s="2250"/>
      <c r="C39" s="2251"/>
      <c r="D39" s="2279"/>
      <c r="E39" s="747" t="str">
        <f t="shared" ref="E39" si="43">IF(W39,T39,"")</f>
        <v/>
      </c>
      <c r="F39" s="2268"/>
      <c r="G39" s="2278"/>
      <c r="H39" s="2278"/>
      <c r="I39" s="837" t="str">
        <f>IF(OR(NOT(W39),U39=0),"",U39)</f>
        <v/>
      </c>
      <c r="J39" s="984" t="str">
        <f t="shared" si="40"/>
        <v/>
      </c>
      <c r="K39" s="1030"/>
      <c r="L39" s="848" t="str">
        <f>IF(AI39=1,"調整①→",IF(AI39=5,"調整②→",IF(AI39=2,"",IF(AI39=3,"全計上→","エラー"))))</f>
        <v/>
      </c>
      <c r="M39" s="576">
        <f t="shared" si="38"/>
        <v>0</v>
      </c>
      <c r="N39" s="537" t="str">
        <f t="shared" si="24"/>
        <v>×</v>
      </c>
      <c r="O39" s="2229"/>
      <c r="P39" s="335"/>
      <c r="Q39" s="584" t="b">
        <f t="shared" ref="Q39" si="44">R39</f>
        <v>0</v>
      </c>
      <c r="R39" s="465" t="b">
        <f>AND(R35=2,B19&gt;0)</f>
        <v>0</v>
      </c>
      <c r="S39" s="967" t="b">
        <f>AND(J39="○",$O$157&gt;=0)</f>
        <v>0</v>
      </c>
      <c r="T39" s="465" t="str">
        <f>$BJ$6</f>
        <v>全職種</v>
      </c>
      <c r="U39" s="332">
        <f>IFERROR(VLOOKUP($F39,$AS$8:$AV$111,4,FALSE),0)</f>
        <v>0</v>
      </c>
      <c r="V39" s="465">
        <v>3</v>
      </c>
      <c r="W39" s="465" t="b">
        <f t="shared" ref="W39" si="45">R39</f>
        <v>0</v>
      </c>
      <c r="X39" s="463" t="b">
        <f ca="1">COUNTIF(INDIRECT(T39),F39)&gt;0</f>
        <v>0</v>
      </c>
      <c r="Y39" s="425" t="b">
        <f>COUNTIF($AC$25:AC38,AC39)+COUNTIF(AC40:$AC$124,AC39)-COUNTIF(Z39:AB39,AC39)=0</f>
        <v>0</v>
      </c>
      <c r="Z39" s="968">
        <f>AC38</f>
        <v>0</v>
      </c>
      <c r="AA39" s="968">
        <f>AC67</f>
        <v>0</v>
      </c>
      <c r="AB39" s="968" t="s">
        <v>874</v>
      </c>
      <c r="AC39" s="424">
        <f>IF(V39=3,0,IFERROR(INDEX($AR$8:$AR$111,MATCH($F39,AS$8:AS$111,0),1),0))</f>
        <v>0</v>
      </c>
      <c r="AD39" s="431" t="b">
        <f>U39&gt;0</f>
        <v>0</v>
      </c>
      <c r="AE39" s="430" t="b">
        <f>IFERROR(VLOOKUP($F39,$AS$8:$AV$111,2,FALSE),"")="常勤"</f>
        <v>0</v>
      </c>
      <c r="AF39" s="465" t="str">
        <f>IFERROR(VLOOKUP(F39,$AS$8:$AV$111,3,FALSE),"")</f>
        <v/>
      </c>
      <c r="AG39" s="466">
        <f>M39</f>
        <v>0</v>
      </c>
      <c r="AH39" s="465">
        <v>2</v>
      </c>
      <c r="AI39" s="431">
        <f t="shared" si="41"/>
        <v>2</v>
      </c>
      <c r="AJ39" s="336">
        <f t="shared" si="42"/>
        <v>0</v>
      </c>
      <c r="AM39" s="310"/>
      <c r="AN39" s="310"/>
      <c r="AP39" s="338"/>
      <c r="AQ39" s="338"/>
      <c r="AR39" s="312">
        <f t="shared" si="0"/>
        <v>32</v>
      </c>
      <c r="AS39" s="1049" t="str">
        <f>AR39&amp;" "&amp;IF(AU39&lt;&gt;"-",【様式2】職員名簿!B72&amp;"/"&amp;AT39&amp;"/"&amp;AU39,"")</f>
        <v xml:space="preserve">32 </v>
      </c>
      <c r="AT39" s="1049">
        <f>【様式2】職員名簿!E72</f>
        <v>0</v>
      </c>
      <c r="AU39" s="1049" t="str">
        <f>IF(【様式2】職員名簿!J72="エラー","-",【様式2】職員名簿!J72)</f>
        <v>-</v>
      </c>
      <c r="AV39" s="430">
        <f>IF($AT39="常勤",$AM$2,IF($AT39="非常勤",【様式2】職員名簿!G72,0))</f>
        <v>0</v>
      </c>
      <c r="AW39" s="330">
        <f>IF($AU39=AW$3,COUNTIF($AU$8:$AU39,AW$3),0)</f>
        <v>0</v>
      </c>
      <c r="AX39" s="331" t="str">
        <f t="shared" si="1"/>
        <v/>
      </c>
      <c r="AY39" s="332">
        <f>IF($AU39=AY$3,COUNTIF($AU$8:$AU39,AY$3),0)</f>
        <v>0</v>
      </c>
      <c r="AZ39" s="331" t="str">
        <f t="shared" si="2"/>
        <v/>
      </c>
      <c r="BA39" s="332">
        <f>IF($AU39=BA$3,COUNTIFS($AU$8:$AU39,BA$3,$AT$8:$AT39,BA$4),0)</f>
        <v>0</v>
      </c>
      <c r="BB39" s="331" t="str">
        <f t="shared" si="3"/>
        <v/>
      </c>
      <c r="BC39" s="431">
        <f>IF($AU39=BC$3,COUNTIF($AU$8:$AU39,BC$3),0)</f>
        <v>0</v>
      </c>
      <c r="BD39" s="331" t="str">
        <f t="shared" si="4"/>
        <v/>
      </c>
      <c r="BE39" s="312">
        <f>IF(OR($AU39=BE$3,$AU39=BE$4),COUNTIF($AU$8:$AU39,BE$3)+COUNTIF($AU$8:$AU39,BE$4),0)</f>
        <v>0</v>
      </c>
      <c r="BF39" s="331" t="str">
        <f t="shared" si="5"/>
        <v/>
      </c>
      <c r="BG39" s="312">
        <f>IF($AU39=BG$3,COUNTIF($AU$8:$AU39,BG$3),0)</f>
        <v>0</v>
      </c>
      <c r="BH39" s="331" t="str">
        <f t="shared" si="6"/>
        <v/>
      </c>
      <c r="BI39" s="312">
        <f>IF($AU39&lt;&gt;BI$3,COUNTIF($AU$8:$AU39,"&lt;&gt;"&amp;BI$3),0)</f>
        <v>0</v>
      </c>
      <c r="BJ39" s="331" t="str">
        <f t="shared" si="7"/>
        <v/>
      </c>
      <c r="BK39" s="954"/>
      <c r="BL39" s="954"/>
    </row>
    <row r="40" spans="1:64" ht="15" customHeight="1">
      <c r="A40" s="2413"/>
      <c r="B40" s="2252"/>
      <c r="C40" s="2253"/>
      <c r="D40" s="2280"/>
      <c r="E40" s="748" t="str">
        <f t="shared" si="37"/>
        <v/>
      </c>
      <c r="F40" s="2621" t="str">
        <f>IF(W40,BL10,"")</f>
        <v/>
      </c>
      <c r="G40" s="2621"/>
      <c r="H40" s="2621"/>
      <c r="I40" s="836" t="str">
        <f>IF(OR(NOT(W40),U40=0),"",U40)</f>
        <v/>
      </c>
      <c r="J40" s="530" t="str">
        <f>IF(OR(F40=0,F40=""),"",IF(W40,IF(X40,IF(OR(Y40,V40=3),IF(AD40,IF(OR(AE40,V40=2,V40=3),"○","要常勤"),"時間無"),"重複"),"名簿無"),"対象外"))</f>
        <v/>
      </c>
      <c r="K40" s="827" t="s">
        <v>916</v>
      </c>
      <c r="L40" s="855" t="s">
        <v>873</v>
      </c>
      <c r="M40" s="533" t="s">
        <v>916</v>
      </c>
      <c r="N40" s="585" t="str">
        <f t="shared" ref="N40" si="46">IF(Q40,"○","×")</f>
        <v>×</v>
      </c>
      <c r="O40" s="2230"/>
      <c r="P40" s="335"/>
      <c r="Q40" s="584" t="b">
        <f t="shared" si="39"/>
        <v>0</v>
      </c>
      <c r="R40" s="465" t="b">
        <f>R35=3</f>
        <v>0</v>
      </c>
      <c r="S40" s="967" t="b">
        <f>AND(J40="○",$O$157&gt;=0)</f>
        <v>0</v>
      </c>
      <c r="T40" s="465" t="str">
        <f>$BL$6</f>
        <v>業務委託</v>
      </c>
      <c r="U40" s="788">
        <f>BM10</f>
        <v>0</v>
      </c>
      <c r="V40" s="467">
        <v>3</v>
      </c>
      <c r="W40" s="465" t="b">
        <f t="shared" ref="W40" si="47">R40</f>
        <v>0</v>
      </c>
      <c r="X40" s="463" t="b">
        <f ca="1">COUNTIF(INDIRECT(T40),F40)&gt;0</f>
        <v>0</v>
      </c>
      <c r="Y40" s="425" t="b">
        <f>COUNTIF($AC$25:AC39,AC40)+COUNTIF(AC41:$AC$124,AC40)-COUNTIF(Z40:AB40,AC40)=0</f>
        <v>0</v>
      </c>
      <c r="Z40" s="968" t="s">
        <v>874</v>
      </c>
      <c r="AA40" s="968" t="s">
        <v>874</v>
      </c>
      <c r="AB40" s="968" t="s">
        <v>874</v>
      </c>
      <c r="AC40" s="424">
        <f>IF(V40=3,0,IFERROR(INDEX($AR$8:$AR$111,MATCH($F40,AS$8:AS$111,0),1),0))</f>
        <v>0</v>
      </c>
      <c r="AD40" s="468" t="b">
        <f>U40&gt;0</f>
        <v>0</v>
      </c>
      <c r="AE40" s="469" t="b">
        <f>IFERROR(VLOOKUP($F40,$AS$8:$AV$111,2,FALSE),"")="常勤"</f>
        <v>0</v>
      </c>
      <c r="AF40" s="465" t="s">
        <v>874</v>
      </c>
      <c r="AG40" s="465" t="s">
        <v>874</v>
      </c>
      <c r="AH40" s="465">
        <v>2</v>
      </c>
      <c r="AI40" s="431">
        <f t="shared" si="28"/>
        <v>2</v>
      </c>
      <c r="AJ40" s="336">
        <f t="shared" si="29"/>
        <v>0</v>
      </c>
      <c r="AM40" s="310"/>
      <c r="AN40" s="310"/>
      <c r="AO40" s="338"/>
      <c r="AP40" s="338"/>
      <c r="AQ40" s="339"/>
      <c r="AR40" s="312">
        <f t="shared" ref="AR40:AR75" si="48">ROW()-ROW($AR$7)</f>
        <v>33</v>
      </c>
      <c r="AS40" s="1049" t="str">
        <f>AR40&amp;" "&amp;IF(AU40&lt;&gt;"-",【様式2】職員名簿!B73&amp;"/"&amp;AT40&amp;"/"&amp;AU40,"")</f>
        <v xml:space="preserve">33 </v>
      </c>
      <c r="AT40" s="1049">
        <f>【様式2】職員名簿!E73</f>
        <v>0</v>
      </c>
      <c r="AU40" s="1049" t="str">
        <f>IF(【様式2】職員名簿!J73="エラー","-",【様式2】職員名簿!J73)</f>
        <v>-</v>
      </c>
      <c r="AV40" s="430">
        <f>IF($AT40="常勤",$AM$2,IF($AT40="非常勤",【様式2】職員名簿!G73,0))</f>
        <v>0</v>
      </c>
      <c r="AW40" s="330">
        <f>IF($AU40=AW$3,COUNTIF($AU$8:$AU40,AW$3),0)</f>
        <v>0</v>
      </c>
      <c r="AX40" s="331" t="str">
        <f t="shared" si="1"/>
        <v/>
      </c>
      <c r="AY40" s="332">
        <f>IF($AU40=AY$3,COUNTIF($AU$8:$AU40,AY$3),0)</f>
        <v>0</v>
      </c>
      <c r="AZ40" s="331" t="str">
        <f t="shared" si="2"/>
        <v/>
      </c>
      <c r="BA40" s="332">
        <f>IF($AU40=BA$3,COUNTIFS($AU$8:$AU40,BA$3,$AT$8:$AT40,BA$4),0)</f>
        <v>0</v>
      </c>
      <c r="BB40" s="331" t="str">
        <f t="shared" si="3"/>
        <v/>
      </c>
      <c r="BC40" s="431">
        <f>IF($AU40=BC$3,COUNTIF($AU$8:$AU40,BC$3),0)</f>
        <v>0</v>
      </c>
      <c r="BD40" s="331" t="str">
        <f t="shared" si="4"/>
        <v/>
      </c>
      <c r="BE40" s="312">
        <f>IF(OR($AU40=BE$3,$AU40=BE$4),COUNTIF($AU$8:$AU40,BE$3)+COUNTIF($AU$8:$AU40,BE$4),0)</f>
        <v>0</v>
      </c>
      <c r="BF40" s="331" t="str">
        <f t="shared" si="5"/>
        <v/>
      </c>
      <c r="BG40" s="312">
        <f>IF($AU40=BG$3,COUNTIF($AU$8:$AU40,BG$3),0)</f>
        <v>0</v>
      </c>
      <c r="BH40" s="331" t="str">
        <f t="shared" si="6"/>
        <v/>
      </c>
      <c r="BI40" s="312">
        <f>IF($AU40&lt;&gt;BI$3,COUNTIF($AU$8:$AU40,"&lt;&gt;"&amp;BI$3),0)</f>
        <v>0</v>
      </c>
      <c r="BJ40" s="331" t="str">
        <f t="shared" si="7"/>
        <v/>
      </c>
      <c r="BK40" s="954"/>
      <c r="BL40" s="954"/>
    </row>
    <row r="41" spans="1:64" ht="15" customHeight="1">
      <c r="A41" s="2414"/>
      <c r="B41" s="2310" t="s">
        <v>930</v>
      </c>
      <c r="C41" s="2311"/>
      <c r="D41" s="2312" t="str">
        <f>IF(W41,T41,"")</f>
        <v>嘱託医等</v>
      </c>
      <c r="E41" s="2313"/>
      <c r="F41" s="2236" t="str">
        <f>IF(Q41,"嘱託医を配置","個票0未選択のため見直すこと")</f>
        <v>嘱託医を配置</v>
      </c>
      <c r="G41" s="1836"/>
      <c r="H41" s="1836"/>
      <c r="I41" s="1836"/>
      <c r="J41" s="1836"/>
      <c r="K41" s="2237"/>
      <c r="L41" s="981" t="s">
        <v>931</v>
      </c>
      <c r="M41" s="540" t="s">
        <v>873</v>
      </c>
      <c r="N41" s="746" t="str">
        <f>IF(Q41,"○","×")</f>
        <v>○</v>
      </c>
      <c r="O41" s="796" t="str">
        <f>IF(Q41,IF(S41,"○","×"),"-")</f>
        <v>×</v>
      </c>
      <c r="P41" s="335"/>
      <c r="Q41" s="465" t="b">
        <f>TRUE()</f>
        <v>1</v>
      </c>
      <c r="R41" s="470" t="b">
        <f>【様式１】総括表・個票!AI65</f>
        <v>0</v>
      </c>
      <c r="S41" s="470" t="b">
        <f>R41</f>
        <v>0</v>
      </c>
      <c r="T41" s="465" t="s">
        <v>971</v>
      </c>
      <c r="U41" s="332" t="s">
        <v>873</v>
      </c>
      <c r="V41" s="465" t="s">
        <v>873</v>
      </c>
      <c r="W41" s="465" t="b">
        <f>Q41</f>
        <v>1</v>
      </c>
      <c r="X41" s="463" t="s">
        <v>873</v>
      </c>
      <c r="Y41" s="425" t="s">
        <v>873</v>
      </c>
      <c r="Z41" s="968" t="s">
        <v>874</v>
      </c>
      <c r="AA41" s="968" t="s">
        <v>874</v>
      </c>
      <c r="AB41" s="968" t="s">
        <v>874</v>
      </c>
      <c r="AC41" s="971" t="s">
        <v>873</v>
      </c>
      <c r="AD41" s="431" t="s">
        <v>873</v>
      </c>
      <c r="AE41" s="430" t="s">
        <v>873</v>
      </c>
      <c r="AF41" s="465" t="s">
        <v>874</v>
      </c>
      <c r="AG41" s="465" t="s">
        <v>874</v>
      </c>
      <c r="AH41" s="465" t="s">
        <v>873</v>
      </c>
      <c r="AI41" s="431" t="s">
        <v>873</v>
      </c>
      <c r="AJ41" s="336" t="s">
        <v>873</v>
      </c>
      <c r="AM41" s="310"/>
      <c r="AN41" s="310"/>
      <c r="AO41" s="338"/>
      <c r="AP41" s="338"/>
      <c r="AQ41" s="339"/>
      <c r="AR41" s="312">
        <f t="shared" si="48"/>
        <v>34</v>
      </c>
      <c r="AS41" s="1049" t="str">
        <f>AR41&amp;" "&amp;IF(AU41&lt;&gt;"-",【様式2】職員名簿!B74&amp;"/"&amp;AT41&amp;"/"&amp;AU41,"")</f>
        <v xml:space="preserve">34 </v>
      </c>
      <c r="AT41" s="1049">
        <f>【様式2】職員名簿!E74</f>
        <v>0</v>
      </c>
      <c r="AU41" s="1049" t="str">
        <f>IF(【様式2】職員名簿!J74="エラー","-",【様式2】職員名簿!J74)</f>
        <v>-</v>
      </c>
      <c r="AV41" s="430">
        <f>IF($AT41="常勤",$AM$2,IF($AT41="非常勤",【様式2】職員名簿!G74,0))</f>
        <v>0</v>
      </c>
      <c r="AW41" s="330">
        <f>IF($AU41=AW$3,COUNTIF($AU$8:$AU41,AW$3),0)</f>
        <v>0</v>
      </c>
      <c r="AX41" s="331" t="str">
        <f t="shared" si="1"/>
        <v/>
      </c>
      <c r="AY41" s="332">
        <f>IF($AU41=AY$3,COUNTIF($AU$8:$AU41,AY$3),0)</f>
        <v>0</v>
      </c>
      <c r="AZ41" s="331" t="str">
        <f t="shared" si="2"/>
        <v/>
      </c>
      <c r="BA41" s="332">
        <f>IF($AU41=BA$3,COUNTIFS($AU$8:$AU41,BA$3,$AT$8:$AT41,BA$4),0)</f>
        <v>0</v>
      </c>
      <c r="BB41" s="331" t="str">
        <f t="shared" si="3"/>
        <v/>
      </c>
      <c r="BC41" s="431">
        <f>IF($AU41=BC$3,COUNTIF($AU$8:$AU41,BC$3),0)</f>
        <v>0</v>
      </c>
      <c r="BD41" s="331" t="str">
        <f t="shared" si="4"/>
        <v/>
      </c>
      <c r="BE41" s="312">
        <f>IF(OR($AU41=BE$3,$AU41=BE$4),COUNTIF($AU$8:$AU41,BE$3)+COUNTIF($AU$8:$AU41,BE$4),0)</f>
        <v>0</v>
      </c>
      <c r="BF41" s="331" t="str">
        <f t="shared" si="5"/>
        <v/>
      </c>
      <c r="BG41" s="312">
        <f>IF($AU41=BG$3,COUNTIF($AU$8:$AU41,BG$3),0)</f>
        <v>0</v>
      </c>
      <c r="BH41" s="331" t="str">
        <f t="shared" si="6"/>
        <v/>
      </c>
      <c r="BI41" s="312">
        <f>IF($AU41&lt;&gt;BI$3,COUNTIF($AU$8:$AU41,"&lt;&gt;"&amp;BI$3),0)</f>
        <v>0</v>
      </c>
      <c r="BJ41" s="331" t="str">
        <f t="shared" si="7"/>
        <v/>
      </c>
      <c r="BK41" s="954"/>
      <c r="BL41" s="954"/>
    </row>
    <row r="42" spans="1:64" ht="15" customHeight="1">
      <c r="A42" s="2420" t="s">
        <v>923</v>
      </c>
      <c r="B42" s="2252" t="s">
        <v>98</v>
      </c>
      <c r="C42" s="2253"/>
      <c r="D42" s="2308" t="str">
        <f>IF(W42,T42,"")</f>
        <v/>
      </c>
      <c r="E42" s="2309"/>
      <c r="F42" s="2269" t="str">
        <f>IF(N42="○","３歳児について1：15","３歳児について1：20")</f>
        <v>３歳児について1：20</v>
      </c>
      <c r="G42" s="2270"/>
      <c r="H42" s="2270"/>
      <c r="I42" s="2270"/>
      <c r="J42" s="2270"/>
      <c r="K42" s="2271"/>
      <c r="L42" s="856" t="s">
        <v>873</v>
      </c>
      <c r="M42" s="978" t="s">
        <v>916</v>
      </c>
      <c r="N42" s="975" t="str">
        <f>IF(Q42,"○","×")</f>
        <v>×</v>
      </c>
      <c r="O42" s="976" t="str">
        <f>IF(Q42,IF(S42,"○","×"),"-")</f>
        <v>-</v>
      </c>
      <c r="P42" s="335"/>
      <c r="Q42" s="465" t="b">
        <f>【様式１】総括表・個票!AI76</f>
        <v>0</v>
      </c>
      <c r="R42" s="470" t="s">
        <v>916</v>
      </c>
      <c r="S42" s="470" t="b">
        <f>$O$142&gt;=0</f>
        <v>1</v>
      </c>
      <c r="T42" s="465" t="str">
        <f t="shared" ref="T42:T61" si="49">$AZ$6</f>
        <v>保育士</v>
      </c>
      <c r="U42" s="332" t="s">
        <v>916</v>
      </c>
      <c r="V42" s="465" t="s">
        <v>916</v>
      </c>
      <c r="W42" s="465" t="b">
        <f>Q42</f>
        <v>0</v>
      </c>
      <c r="X42" s="463" t="s">
        <v>873</v>
      </c>
      <c r="Y42" s="425" t="s">
        <v>916</v>
      </c>
      <c r="Z42" s="968" t="s">
        <v>874</v>
      </c>
      <c r="AA42" s="968" t="s">
        <v>874</v>
      </c>
      <c r="AB42" s="968" t="s">
        <v>874</v>
      </c>
      <c r="AC42" s="424" t="s">
        <v>916</v>
      </c>
      <c r="AD42" s="431" t="b">
        <f t="shared" si="13"/>
        <v>1</v>
      </c>
      <c r="AE42" s="430" t="b">
        <f t="shared" ref="AE42:AE52" si="50">IFERROR(VLOOKUP($F42,$AS$8:$AV$111,2,FALSE),"")="常勤"</f>
        <v>0</v>
      </c>
      <c r="AF42" s="465" t="s">
        <v>874</v>
      </c>
      <c r="AG42" s="465" t="s">
        <v>874</v>
      </c>
      <c r="AH42" s="465" t="s">
        <v>916</v>
      </c>
      <c r="AI42" s="431" t="s">
        <v>874</v>
      </c>
      <c r="AJ42" s="336" t="s">
        <v>874</v>
      </c>
      <c r="AM42" s="310"/>
      <c r="AN42" s="310"/>
      <c r="AO42" s="338"/>
      <c r="AP42" s="338"/>
      <c r="AQ42" s="339"/>
      <c r="AR42" s="312">
        <f t="shared" si="48"/>
        <v>35</v>
      </c>
      <c r="AS42" s="1049" t="str">
        <f>AR42&amp;" "&amp;IF(AU42&lt;&gt;"-",【様式2】職員名簿!B75&amp;"/"&amp;AT42&amp;"/"&amp;AU42,"")</f>
        <v xml:space="preserve">35 </v>
      </c>
      <c r="AT42" s="1049">
        <f>【様式2】職員名簿!E75</f>
        <v>0</v>
      </c>
      <c r="AU42" s="1049" t="str">
        <f>IF(【様式2】職員名簿!J75="エラー","-",【様式2】職員名簿!J75)</f>
        <v>-</v>
      </c>
      <c r="AV42" s="430">
        <f>IF($AT42="常勤",$AM$2,IF($AT42="非常勤",【様式2】職員名簿!G75,0))</f>
        <v>0</v>
      </c>
      <c r="AW42" s="330">
        <f>IF($AU42=AW$3,COUNTIF($AU$8:$AU42,AW$3),0)</f>
        <v>0</v>
      </c>
      <c r="AX42" s="331" t="str">
        <f t="shared" si="1"/>
        <v/>
      </c>
      <c r="AY42" s="332">
        <f>IF($AU42=AY$3,COUNTIF($AU$8:$AU42,AY$3),0)</f>
        <v>0</v>
      </c>
      <c r="AZ42" s="331" t="str">
        <f t="shared" si="2"/>
        <v/>
      </c>
      <c r="BA42" s="332">
        <f>IF($AU42=BA$3,COUNTIFS($AU$8:$AU42,BA$3,$AT$8:$AT42,BA$4),0)</f>
        <v>0</v>
      </c>
      <c r="BB42" s="331" t="str">
        <f t="shared" si="3"/>
        <v/>
      </c>
      <c r="BC42" s="431">
        <f>IF($AU42=BC$3,COUNTIF($AU$8:$AU42,BC$3),0)</f>
        <v>0</v>
      </c>
      <c r="BD42" s="331" t="str">
        <f t="shared" si="4"/>
        <v/>
      </c>
      <c r="BE42" s="312">
        <f>IF(OR($AU42=BE$3,$AU42=BE$4),COUNTIF($AU$8:$AU42,BE$3)+COUNTIF($AU$8:$AU42,BE$4),0)</f>
        <v>0</v>
      </c>
      <c r="BF42" s="331" t="str">
        <f t="shared" si="5"/>
        <v/>
      </c>
      <c r="BG42" s="312">
        <f>IF($AU42=BG$3,COUNTIF($AU$8:$AU42,BG$3),0)</f>
        <v>0</v>
      </c>
      <c r="BH42" s="331" t="str">
        <f t="shared" si="6"/>
        <v/>
      </c>
      <c r="BI42" s="312">
        <f>IF($AU42&lt;&gt;BI$3,COUNTIF($AU$8:$AU42,"&lt;&gt;"&amp;BI$3),0)</f>
        <v>0</v>
      </c>
      <c r="BJ42" s="331" t="str">
        <f t="shared" si="7"/>
        <v/>
      </c>
      <c r="BK42" s="954"/>
      <c r="BL42" s="954"/>
    </row>
    <row r="43" spans="1:64" ht="15" customHeight="1">
      <c r="A43" s="2413"/>
      <c r="B43" s="2254" t="s">
        <v>990</v>
      </c>
      <c r="C43" s="2257" t="str">
        <f>CONCATENATE('(別紙3)休日'!L15)</f>
        <v/>
      </c>
      <c r="D43" s="2300" t="str">
        <f t="shared" ref="D43:D63" si="51">IF(W43,T43,"")</f>
        <v/>
      </c>
      <c r="E43" s="2301"/>
      <c r="F43" s="2585"/>
      <c r="G43" s="2586"/>
      <c r="H43" s="2587"/>
      <c r="I43" s="838" t="str">
        <f>IF(OR(NOT(W43),U43=0),"",U43)</f>
        <v/>
      </c>
      <c r="J43" s="983" t="str">
        <f t="shared" ref="J43:J61" si="52">IF(OR(F43=0,F43=""),"",IF(W43,IF(X43,IF(OR(Y43,V43=3),IF(AD43,IF(OR(AE43,V43=2,V43=3),"○","要常勤"),"時間無"),"重複"),"名簿無"),"対象外"))</f>
        <v/>
      </c>
      <c r="K43" s="1031"/>
      <c r="L43" s="847" t="str">
        <f t="shared" ref="L43:L73" si="53">IF(AI43=1,"調整①→",IF(AI43=5,"調整②→",IF(AI43=2,"",IF(AI43=3,"全計上→","エラー"))))</f>
        <v/>
      </c>
      <c r="M43" s="528">
        <f t="shared" ref="M43:M64" si="54">IF(OR(AND(J43&lt;&gt;"",J43&lt;&gt;"○"),AI43=4),"×",IF(J43="",0,AJ43/$AM$2))</f>
        <v>0</v>
      </c>
      <c r="N43" s="2480" t="str">
        <f>IF(Q43,"○","×")</f>
        <v>×</v>
      </c>
      <c r="O43" s="2228" t="str">
        <f>IF(Q43,IF(S43,"○","×"),"-")</f>
        <v>-</v>
      </c>
      <c r="P43" s="335"/>
      <c r="Q43" s="2225" t="b">
        <f>AND(【様式１】総括表・個票!AI83,R43)</f>
        <v>0</v>
      </c>
      <c r="R43" s="2225" t="b">
        <f>'(別紙3)休日'!L15&lt;&gt;"全て超過勤務"</f>
        <v>1</v>
      </c>
      <c r="S43" s="2225" t="b">
        <f>AND(SUM(M43:M52)&gt;0,O142&gt;=0)</f>
        <v>0</v>
      </c>
      <c r="T43" s="465" t="str">
        <f t="shared" si="49"/>
        <v>保育士</v>
      </c>
      <c r="U43" s="332">
        <f t="shared" ref="U43:U52" si="55">IFERROR(VLOOKUP($F43,$AS$8:$AV$111,4,FALSE),0)</f>
        <v>0</v>
      </c>
      <c r="V43" s="465">
        <v>2</v>
      </c>
      <c r="W43" s="465" t="b">
        <f t="shared" ref="W43:W51" si="56">AND($Q$43,$R$43)</f>
        <v>0</v>
      </c>
      <c r="X43" s="463" t="b">
        <f t="shared" ref="X43:X52" ca="1" si="57">COUNTIF(INDIRECT(T43),F43)&gt;0</f>
        <v>0</v>
      </c>
      <c r="Y43" s="425" t="b">
        <f>COUNTIF($AC$25:AC42,AC43)+COUNTIF(AC44:$AC$124,AC43)-COUNTIF(Z43:AB43,AC43)=0</f>
        <v>0</v>
      </c>
      <c r="Z43" s="968" t="s">
        <v>874</v>
      </c>
      <c r="AA43" s="968" t="s">
        <v>874</v>
      </c>
      <c r="AB43" s="968" t="s">
        <v>874</v>
      </c>
      <c r="AC43" s="971">
        <f t="shared" ref="AC43:AC52" si="58">IF(V43=3,0,IFERROR(INDEX($AR$8:$AR$111,MATCH($F43,AS$8:AS$111,0),1),0))</f>
        <v>0</v>
      </c>
      <c r="AD43" s="431" t="b">
        <f t="shared" si="13"/>
        <v>0</v>
      </c>
      <c r="AE43" s="430" t="b">
        <f t="shared" si="50"/>
        <v>0</v>
      </c>
      <c r="AF43" s="465" t="s">
        <v>989</v>
      </c>
      <c r="AG43" s="466">
        <f t="shared" ref="AG43:AG52" si="59">M43</f>
        <v>0</v>
      </c>
      <c r="AH43" s="465">
        <v>2</v>
      </c>
      <c r="AI43" s="431">
        <f t="shared" ref="AI43:AI73" si="60">IF(AND($W43,$J43="○"),IF($K43="-",IF($U43&lt;IF($AH43=5,$AL$4,$AL$3),$AH43,2),IF($K43=0,IF($U43&lt;IF($AH43=5,$AL$4,$AL$3),IF(OR($AH43=1,$AH43=5),$AH43,3),3),IF(K43&lt;IF($AH43=5,$AL$4,$AL$3),$AH43,IF($K43&gt;$U43,4,2)))),2)</f>
        <v>2</v>
      </c>
      <c r="AJ43" s="336">
        <f t="shared" ref="AJ43:AJ73" si="61">IF(AI43=1,$AL$3,IF(AI43=5,$AL$4,IF(AI43=2,IF(K43="-",U43,K43),IF(AI43=3,U43,"×"))))</f>
        <v>0</v>
      </c>
      <c r="AM43" s="310"/>
      <c r="AN43" s="310"/>
      <c r="AO43" s="339"/>
      <c r="AP43" s="339"/>
      <c r="AQ43" s="339"/>
      <c r="AR43" s="312">
        <f t="shared" si="48"/>
        <v>36</v>
      </c>
      <c r="AS43" s="1049" t="str">
        <f>AR43&amp;" "&amp;IF(AU43&lt;&gt;"-",【様式2】職員名簿!B76&amp;"/"&amp;AT43&amp;"/"&amp;AU43,"")</f>
        <v xml:space="preserve">36 </v>
      </c>
      <c r="AT43" s="1049">
        <f>【様式2】職員名簿!E76</f>
        <v>0</v>
      </c>
      <c r="AU43" s="1049" t="str">
        <f>IF(【様式2】職員名簿!J76="エラー","-",【様式2】職員名簿!J76)</f>
        <v>-</v>
      </c>
      <c r="AV43" s="430">
        <f>IF($AT43="常勤",$AM$2,IF($AT43="非常勤",【様式2】職員名簿!G76,0))</f>
        <v>0</v>
      </c>
      <c r="AW43" s="330">
        <f>IF($AU43=AW$3,COUNTIF($AU$8:$AU43,AW$3),0)</f>
        <v>0</v>
      </c>
      <c r="AX43" s="331" t="str">
        <f t="shared" si="1"/>
        <v/>
      </c>
      <c r="AY43" s="332">
        <f>IF($AU43=AY$3,COUNTIF($AU$8:$AU43,AY$3),0)</f>
        <v>0</v>
      </c>
      <c r="AZ43" s="331" t="str">
        <f t="shared" si="2"/>
        <v/>
      </c>
      <c r="BA43" s="332">
        <f>IF($AU43=BA$3,COUNTIFS($AU$8:$AU43,BA$3,$AT$8:$AT43,BA$4),0)</f>
        <v>0</v>
      </c>
      <c r="BB43" s="331" t="str">
        <f t="shared" si="3"/>
        <v/>
      </c>
      <c r="BC43" s="431">
        <f>IF($AU43=BC$3,COUNTIF($AU$8:$AU43,BC$3),0)</f>
        <v>0</v>
      </c>
      <c r="BD43" s="331" t="str">
        <f t="shared" si="4"/>
        <v/>
      </c>
      <c r="BE43" s="312">
        <f>IF(OR($AU43=BE$3,$AU43=BE$4),COUNTIF($AU$8:$AU43,BE$3)+COUNTIF($AU$8:$AU43,BE$4),0)</f>
        <v>0</v>
      </c>
      <c r="BF43" s="331" t="str">
        <f t="shared" si="5"/>
        <v/>
      </c>
      <c r="BG43" s="312">
        <f>IF($AU43=BG$3,COUNTIF($AU$8:$AU43,BG$3),0)</f>
        <v>0</v>
      </c>
      <c r="BH43" s="331" t="str">
        <f t="shared" si="6"/>
        <v/>
      </c>
      <c r="BI43" s="312">
        <f>IF($AU43&lt;&gt;BI$3,COUNTIF($AU$8:$AU43,"&lt;&gt;"&amp;BI$3),0)</f>
        <v>0</v>
      </c>
      <c r="BJ43" s="331" t="str">
        <f t="shared" si="7"/>
        <v/>
      </c>
      <c r="BK43" s="954"/>
      <c r="BL43" s="954"/>
    </row>
    <row r="44" spans="1:64" ht="15" customHeight="1">
      <c r="A44" s="2413"/>
      <c r="B44" s="2255"/>
      <c r="C44" s="2258"/>
      <c r="D44" s="2261" t="str">
        <f>IF(W44,T44,"")</f>
        <v/>
      </c>
      <c r="E44" s="2262"/>
      <c r="F44" s="2266"/>
      <c r="G44" s="2267"/>
      <c r="H44" s="2268"/>
      <c r="I44" s="837" t="str">
        <f t="shared" ref="I44:I64" si="62">IF(OR(NOT(W44),U44=0),"",U44)</f>
        <v/>
      </c>
      <c r="J44" s="984" t="str">
        <f t="shared" si="52"/>
        <v/>
      </c>
      <c r="K44" s="1030"/>
      <c r="L44" s="848" t="str">
        <f t="shared" si="53"/>
        <v/>
      </c>
      <c r="M44" s="576">
        <f t="shared" si="54"/>
        <v>0</v>
      </c>
      <c r="N44" s="2481" t="str">
        <f t="shared" ref="N44:N52" si="63">IF(Q44,"○","×")</f>
        <v>×</v>
      </c>
      <c r="O44" s="2229" t="str">
        <f t="shared" ref="O44:O52" si="64">IF(Q44,IF(S44,"○","×"),"-")</f>
        <v>-</v>
      </c>
      <c r="P44" s="335"/>
      <c r="Q44" s="2226"/>
      <c r="R44" s="2226"/>
      <c r="S44" s="2226"/>
      <c r="T44" s="465" t="str">
        <f t="shared" si="49"/>
        <v>保育士</v>
      </c>
      <c r="U44" s="332">
        <f t="shared" si="55"/>
        <v>0</v>
      </c>
      <c r="V44" s="465">
        <v>2</v>
      </c>
      <c r="W44" s="465" t="b">
        <f t="shared" si="56"/>
        <v>0</v>
      </c>
      <c r="X44" s="463" t="b">
        <f t="shared" ca="1" si="57"/>
        <v>0</v>
      </c>
      <c r="Y44" s="425" t="b">
        <f>COUNTIF($AC$25:AC43,AC44)+COUNTIF(AC45:$AC$124,AC44)-COUNTIF(Z44:AB44,AC44)=0</f>
        <v>0</v>
      </c>
      <c r="Z44" s="968" t="s">
        <v>874</v>
      </c>
      <c r="AA44" s="968" t="s">
        <v>874</v>
      </c>
      <c r="AB44" s="968" t="s">
        <v>874</v>
      </c>
      <c r="AC44" s="971">
        <f t="shared" si="58"/>
        <v>0</v>
      </c>
      <c r="AD44" s="431" t="b">
        <f t="shared" si="13"/>
        <v>0</v>
      </c>
      <c r="AE44" s="430" t="b">
        <f t="shared" si="50"/>
        <v>0</v>
      </c>
      <c r="AF44" s="465" t="s">
        <v>874</v>
      </c>
      <c r="AG44" s="466">
        <f t="shared" si="59"/>
        <v>0</v>
      </c>
      <c r="AH44" s="465">
        <v>2</v>
      </c>
      <c r="AI44" s="431">
        <f t="shared" si="60"/>
        <v>2</v>
      </c>
      <c r="AJ44" s="336">
        <f t="shared" si="61"/>
        <v>0</v>
      </c>
      <c r="AM44" s="310"/>
      <c r="AN44" s="310"/>
      <c r="AO44" s="339"/>
      <c r="AP44" s="339"/>
      <c r="AQ44" s="333"/>
      <c r="AR44" s="312">
        <f t="shared" si="48"/>
        <v>37</v>
      </c>
      <c r="AS44" s="1049" t="str">
        <f>AR44&amp;" "&amp;IF(AU44&lt;&gt;"-",【様式2】職員名簿!B77&amp;"/"&amp;AT44&amp;"/"&amp;AU44,"")</f>
        <v xml:space="preserve">37 </v>
      </c>
      <c r="AT44" s="1049">
        <f>【様式2】職員名簿!E77</f>
        <v>0</v>
      </c>
      <c r="AU44" s="1049" t="str">
        <f>IF(【様式2】職員名簿!J77="エラー","-",【様式2】職員名簿!J77)</f>
        <v>-</v>
      </c>
      <c r="AV44" s="430">
        <f>IF($AT44="常勤",$AM$2,IF($AT44="非常勤",【様式2】職員名簿!G77,0))</f>
        <v>0</v>
      </c>
      <c r="AW44" s="330">
        <f>IF($AU44=AW$3,COUNTIF($AU$8:$AU44,AW$3),0)</f>
        <v>0</v>
      </c>
      <c r="AX44" s="331" t="str">
        <f t="shared" si="1"/>
        <v/>
      </c>
      <c r="AY44" s="332">
        <f>IF($AU44=AY$3,COUNTIF($AU$8:$AU44,AY$3),0)</f>
        <v>0</v>
      </c>
      <c r="AZ44" s="331" t="str">
        <f t="shared" si="2"/>
        <v/>
      </c>
      <c r="BA44" s="332">
        <f>IF($AU44=BA$3,COUNTIFS($AU$8:$AU44,BA$3,$AT$8:$AT44,BA$4),0)</f>
        <v>0</v>
      </c>
      <c r="BB44" s="331" t="str">
        <f t="shared" si="3"/>
        <v/>
      </c>
      <c r="BC44" s="431">
        <f>IF($AU44=BC$3,COUNTIF($AU$8:$AU44,BC$3),0)</f>
        <v>0</v>
      </c>
      <c r="BD44" s="331" t="str">
        <f t="shared" si="4"/>
        <v/>
      </c>
      <c r="BE44" s="312">
        <f>IF(OR($AU44=BE$3,$AU44=BE$4),COUNTIF($AU$8:$AU44,BE$3)+COUNTIF($AU$8:$AU44,BE$4),0)</f>
        <v>0</v>
      </c>
      <c r="BF44" s="331" t="str">
        <f t="shared" si="5"/>
        <v/>
      </c>
      <c r="BG44" s="312">
        <f>IF($AU44=BG$3,COUNTIF($AU$8:$AU44,BG$3),0)</f>
        <v>0</v>
      </c>
      <c r="BH44" s="331" t="str">
        <f t="shared" si="6"/>
        <v/>
      </c>
      <c r="BI44" s="312">
        <f>IF($AU44&lt;&gt;BI$3,COUNTIF($AU$8:$AU44,"&lt;&gt;"&amp;BI$3),0)</f>
        <v>0</v>
      </c>
      <c r="BJ44" s="331" t="str">
        <f t="shared" si="7"/>
        <v/>
      </c>
      <c r="BK44" s="954"/>
      <c r="BL44" s="954"/>
    </row>
    <row r="45" spans="1:64" ht="15" customHeight="1">
      <c r="A45" s="2413"/>
      <c r="B45" s="2255"/>
      <c r="C45" s="2259" t="s">
        <v>1085</v>
      </c>
      <c r="D45" s="2261" t="str">
        <f t="shared" si="51"/>
        <v/>
      </c>
      <c r="E45" s="2262"/>
      <c r="F45" s="2266"/>
      <c r="G45" s="2267"/>
      <c r="H45" s="2268"/>
      <c r="I45" s="837" t="str">
        <f t="shared" si="62"/>
        <v/>
      </c>
      <c r="J45" s="984" t="str">
        <f t="shared" si="52"/>
        <v/>
      </c>
      <c r="K45" s="1030"/>
      <c r="L45" s="848" t="str">
        <f t="shared" si="53"/>
        <v/>
      </c>
      <c r="M45" s="576">
        <f t="shared" si="54"/>
        <v>0</v>
      </c>
      <c r="N45" s="2481" t="str">
        <f t="shared" si="63"/>
        <v>×</v>
      </c>
      <c r="O45" s="2229" t="str">
        <f t="shared" si="64"/>
        <v>-</v>
      </c>
      <c r="P45" s="335"/>
      <c r="Q45" s="2226"/>
      <c r="R45" s="2226"/>
      <c r="S45" s="2226"/>
      <c r="T45" s="465" t="str">
        <f t="shared" si="49"/>
        <v>保育士</v>
      </c>
      <c r="U45" s="332">
        <f t="shared" si="55"/>
        <v>0</v>
      </c>
      <c r="V45" s="465">
        <v>2</v>
      </c>
      <c r="W45" s="465" t="b">
        <f t="shared" si="56"/>
        <v>0</v>
      </c>
      <c r="X45" s="463" t="b">
        <f t="shared" ca="1" si="57"/>
        <v>0</v>
      </c>
      <c r="Y45" s="425" t="b">
        <f>COUNTIF($AC$25:AC44,AC45)+COUNTIF(AC46:$AC$124,AC45)-COUNTIF(Z45:AB45,AC45)=0</f>
        <v>0</v>
      </c>
      <c r="Z45" s="968" t="s">
        <v>874</v>
      </c>
      <c r="AA45" s="968" t="s">
        <v>874</v>
      </c>
      <c r="AB45" s="968" t="s">
        <v>874</v>
      </c>
      <c r="AC45" s="971">
        <f t="shared" si="58"/>
        <v>0</v>
      </c>
      <c r="AD45" s="431" t="b">
        <f>U45&gt;0</f>
        <v>0</v>
      </c>
      <c r="AE45" s="430" t="b">
        <f t="shared" si="50"/>
        <v>0</v>
      </c>
      <c r="AF45" s="465" t="s">
        <v>874</v>
      </c>
      <c r="AG45" s="466">
        <f t="shared" si="59"/>
        <v>0</v>
      </c>
      <c r="AH45" s="465">
        <v>2</v>
      </c>
      <c r="AI45" s="431">
        <f t="shared" si="60"/>
        <v>2</v>
      </c>
      <c r="AJ45" s="336">
        <f t="shared" si="61"/>
        <v>0</v>
      </c>
      <c r="AM45" s="310"/>
      <c r="AN45" s="310"/>
      <c r="AO45" s="339"/>
      <c r="AP45" s="339"/>
      <c r="AQ45" s="333"/>
      <c r="AR45" s="312">
        <f t="shared" si="48"/>
        <v>38</v>
      </c>
      <c r="AS45" s="1049" t="str">
        <f>AR45&amp;" "&amp;IF(AU45&lt;&gt;"-",【様式2】職員名簿!B78&amp;"/"&amp;AT45&amp;"/"&amp;AU45,"")</f>
        <v xml:space="preserve">38 </v>
      </c>
      <c r="AT45" s="1049">
        <f>【様式2】職員名簿!E78</f>
        <v>0</v>
      </c>
      <c r="AU45" s="1049" t="str">
        <f>IF(【様式2】職員名簿!J78="エラー","-",【様式2】職員名簿!J78)</f>
        <v>-</v>
      </c>
      <c r="AV45" s="430">
        <f>IF($AT45="常勤",$AM$2,IF($AT45="非常勤",【様式2】職員名簿!G78,0))</f>
        <v>0</v>
      </c>
      <c r="AW45" s="330">
        <f>IF($AU45=AW$3,COUNTIF($AU$8:$AU45,AW$3),0)</f>
        <v>0</v>
      </c>
      <c r="AX45" s="331" t="str">
        <f t="shared" si="1"/>
        <v/>
      </c>
      <c r="AY45" s="332">
        <f>IF($AU45=AY$3,COUNTIF($AU$8:$AU45,AY$3),0)</f>
        <v>0</v>
      </c>
      <c r="AZ45" s="331" t="str">
        <f t="shared" si="2"/>
        <v/>
      </c>
      <c r="BA45" s="332">
        <f>IF($AU45=BA$3,COUNTIFS($AU$8:$AU45,BA$3,$AT$8:$AT45,BA$4),0)</f>
        <v>0</v>
      </c>
      <c r="BB45" s="331" t="str">
        <f t="shared" si="3"/>
        <v/>
      </c>
      <c r="BC45" s="431">
        <f>IF($AU45=BC$3,COUNTIF($AU$8:$AU45,BC$3),0)</f>
        <v>0</v>
      </c>
      <c r="BD45" s="331" t="str">
        <f t="shared" si="4"/>
        <v/>
      </c>
      <c r="BE45" s="312">
        <f>IF(OR($AU45=BE$3,$AU45=BE$4),COUNTIF($AU$8:$AU45,BE$3)+COUNTIF($AU$8:$AU45,BE$4),0)</f>
        <v>0</v>
      </c>
      <c r="BF45" s="331" t="str">
        <f t="shared" si="5"/>
        <v/>
      </c>
      <c r="BG45" s="312">
        <f>IF($AU45=BG$3,COUNTIF($AU$8:$AU45,BG$3),0)</f>
        <v>0</v>
      </c>
      <c r="BH45" s="331" t="str">
        <f t="shared" si="6"/>
        <v/>
      </c>
      <c r="BI45" s="312">
        <f>IF($AU45&lt;&gt;BI$3,COUNTIF($AU$8:$AU45,"&lt;&gt;"&amp;BI$3),0)</f>
        <v>0</v>
      </c>
      <c r="BJ45" s="331" t="str">
        <f t="shared" si="7"/>
        <v/>
      </c>
      <c r="BK45" s="954"/>
      <c r="BL45" s="954"/>
    </row>
    <row r="46" spans="1:64" ht="15" customHeight="1">
      <c r="A46" s="2413"/>
      <c r="B46" s="2255"/>
      <c r="C46" s="2259"/>
      <c r="D46" s="2261" t="str">
        <f t="shared" si="51"/>
        <v/>
      </c>
      <c r="E46" s="2262"/>
      <c r="F46" s="2266"/>
      <c r="G46" s="2267"/>
      <c r="H46" s="2268"/>
      <c r="I46" s="837" t="str">
        <f t="shared" si="62"/>
        <v/>
      </c>
      <c r="J46" s="984" t="str">
        <f t="shared" si="52"/>
        <v/>
      </c>
      <c r="K46" s="1030"/>
      <c r="L46" s="848" t="str">
        <f t="shared" si="53"/>
        <v/>
      </c>
      <c r="M46" s="576">
        <f t="shared" si="54"/>
        <v>0</v>
      </c>
      <c r="N46" s="2481" t="str">
        <f t="shared" si="63"/>
        <v>×</v>
      </c>
      <c r="O46" s="2229" t="str">
        <f t="shared" si="64"/>
        <v>-</v>
      </c>
      <c r="P46" s="335"/>
      <c r="Q46" s="2226"/>
      <c r="R46" s="2226"/>
      <c r="S46" s="2226"/>
      <c r="T46" s="465" t="str">
        <f t="shared" si="49"/>
        <v>保育士</v>
      </c>
      <c r="U46" s="332">
        <f t="shared" si="55"/>
        <v>0</v>
      </c>
      <c r="V46" s="465">
        <v>2</v>
      </c>
      <c r="W46" s="465" t="b">
        <f t="shared" si="56"/>
        <v>0</v>
      </c>
      <c r="X46" s="463" t="b">
        <f t="shared" ca="1" si="57"/>
        <v>0</v>
      </c>
      <c r="Y46" s="425" t="b">
        <f>COUNTIF($AC$25:AC45,AC46)+COUNTIF(AC47:$AC$124,AC46)-COUNTIF(Z46:AB46,AC46)=0</f>
        <v>0</v>
      </c>
      <c r="Z46" s="968" t="s">
        <v>874</v>
      </c>
      <c r="AA46" s="968" t="s">
        <v>874</v>
      </c>
      <c r="AB46" s="968" t="s">
        <v>874</v>
      </c>
      <c r="AC46" s="971">
        <f t="shared" si="58"/>
        <v>0</v>
      </c>
      <c r="AD46" s="431" t="b">
        <f t="shared" si="13"/>
        <v>0</v>
      </c>
      <c r="AE46" s="430" t="b">
        <f t="shared" si="50"/>
        <v>0</v>
      </c>
      <c r="AF46" s="465" t="s">
        <v>874</v>
      </c>
      <c r="AG46" s="466">
        <f t="shared" si="59"/>
        <v>0</v>
      </c>
      <c r="AH46" s="465">
        <v>2</v>
      </c>
      <c r="AI46" s="431">
        <f t="shared" si="60"/>
        <v>2</v>
      </c>
      <c r="AJ46" s="336">
        <f t="shared" si="61"/>
        <v>0</v>
      </c>
      <c r="AM46" s="310"/>
      <c r="AN46" s="310"/>
      <c r="AP46" s="339"/>
      <c r="AQ46" s="333"/>
      <c r="AR46" s="312">
        <f t="shared" si="48"/>
        <v>39</v>
      </c>
      <c r="AS46" s="1049" t="str">
        <f>AR46&amp;" "&amp;IF(AU46&lt;&gt;"-",【様式2】職員名簿!B79&amp;"/"&amp;AT46&amp;"/"&amp;AU46,"")</f>
        <v xml:space="preserve">39 </v>
      </c>
      <c r="AT46" s="1049">
        <f>【様式2】職員名簿!E79</f>
        <v>0</v>
      </c>
      <c r="AU46" s="1049" t="str">
        <f>IF(【様式2】職員名簿!J79="エラー","-",【様式2】職員名簿!J79)</f>
        <v>-</v>
      </c>
      <c r="AV46" s="430">
        <f>IF($AT46="常勤",$AM$2,IF($AT46="非常勤",【様式2】職員名簿!G79,0))</f>
        <v>0</v>
      </c>
      <c r="AW46" s="330">
        <f>IF($AU46=AW$3,COUNTIF($AU$8:$AU46,AW$3),0)</f>
        <v>0</v>
      </c>
      <c r="AX46" s="331" t="str">
        <f t="shared" si="1"/>
        <v/>
      </c>
      <c r="AY46" s="332">
        <f>IF($AU46=AY$3,COUNTIF($AU$8:$AU46,AY$3),0)</f>
        <v>0</v>
      </c>
      <c r="AZ46" s="331" t="str">
        <f t="shared" si="2"/>
        <v/>
      </c>
      <c r="BA46" s="332">
        <f>IF($AU46=BA$3,COUNTIFS($AU$8:$AU46,BA$3,$AT$8:$AT46,BA$4),0)</f>
        <v>0</v>
      </c>
      <c r="BB46" s="331" t="str">
        <f t="shared" si="3"/>
        <v/>
      </c>
      <c r="BC46" s="431">
        <f>IF($AU46=BC$3,COUNTIF($AU$8:$AU46,BC$3),0)</f>
        <v>0</v>
      </c>
      <c r="BD46" s="331" t="str">
        <f t="shared" si="4"/>
        <v/>
      </c>
      <c r="BE46" s="312">
        <f>IF(OR($AU46=BE$3,$AU46=BE$4),COUNTIF($AU$8:$AU46,BE$3)+COUNTIF($AU$8:$AU46,BE$4),0)</f>
        <v>0</v>
      </c>
      <c r="BF46" s="331" t="str">
        <f t="shared" si="5"/>
        <v/>
      </c>
      <c r="BG46" s="312">
        <f>IF($AU46=BG$3,COUNTIF($AU$8:$AU46,BG$3),0)</f>
        <v>0</v>
      </c>
      <c r="BH46" s="331" t="str">
        <f t="shared" si="6"/>
        <v/>
      </c>
      <c r="BI46" s="312">
        <f>IF($AU46&lt;&gt;BI$3,COUNTIF($AU$8:$AU46,"&lt;&gt;"&amp;BI$3),0)</f>
        <v>0</v>
      </c>
      <c r="BJ46" s="331" t="str">
        <f t="shared" si="7"/>
        <v/>
      </c>
      <c r="BK46" s="954"/>
      <c r="BL46" s="954"/>
    </row>
    <row r="47" spans="1:64" ht="15" customHeight="1">
      <c r="A47" s="2413"/>
      <c r="B47" s="2255"/>
      <c r="C47" s="2259"/>
      <c r="D47" s="2261" t="str">
        <f t="shared" si="51"/>
        <v/>
      </c>
      <c r="E47" s="2262"/>
      <c r="F47" s="2266"/>
      <c r="G47" s="2267"/>
      <c r="H47" s="2268"/>
      <c r="I47" s="837" t="str">
        <f t="shared" si="62"/>
        <v/>
      </c>
      <c r="J47" s="984" t="str">
        <f t="shared" si="52"/>
        <v/>
      </c>
      <c r="K47" s="1030"/>
      <c r="L47" s="848" t="str">
        <f t="shared" si="53"/>
        <v/>
      </c>
      <c r="M47" s="576">
        <f t="shared" si="54"/>
        <v>0</v>
      </c>
      <c r="N47" s="2481" t="str">
        <f t="shared" si="63"/>
        <v>×</v>
      </c>
      <c r="O47" s="2229" t="str">
        <f t="shared" si="64"/>
        <v>-</v>
      </c>
      <c r="P47" s="335"/>
      <c r="Q47" s="2226"/>
      <c r="R47" s="2226"/>
      <c r="S47" s="2226"/>
      <c r="T47" s="465" t="str">
        <f t="shared" si="49"/>
        <v>保育士</v>
      </c>
      <c r="U47" s="332">
        <f t="shared" si="55"/>
        <v>0</v>
      </c>
      <c r="V47" s="465">
        <v>2</v>
      </c>
      <c r="W47" s="465" t="b">
        <f t="shared" si="56"/>
        <v>0</v>
      </c>
      <c r="X47" s="463" t="b">
        <f t="shared" ca="1" si="57"/>
        <v>0</v>
      </c>
      <c r="Y47" s="425" t="b">
        <f>COUNTIF($AC$25:AC46,AC47)+COUNTIF(AC48:$AC$124,AC47)-COUNTIF(Z47:AB47,AC47)=0</f>
        <v>0</v>
      </c>
      <c r="Z47" s="968" t="s">
        <v>874</v>
      </c>
      <c r="AA47" s="968" t="s">
        <v>874</v>
      </c>
      <c r="AB47" s="968" t="s">
        <v>874</v>
      </c>
      <c r="AC47" s="971">
        <f t="shared" si="58"/>
        <v>0</v>
      </c>
      <c r="AD47" s="431" t="b">
        <f t="shared" si="13"/>
        <v>0</v>
      </c>
      <c r="AE47" s="430" t="b">
        <f t="shared" si="50"/>
        <v>0</v>
      </c>
      <c r="AF47" s="465" t="s">
        <v>874</v>
      </c>
      <c r="AG47" s="466">
        <f t="shared" si="59"/>
        <v>0</v>
      </c>
      <c r="AH47" s="465">
        <v>2</v>
      </c>
      <c r="AI47" s="431">
        <f t="shared" si="60"/>
        <v>2</v>
      </c>
      <c r="AJ47" s="336">
        <f t="shared" si="61"/>
        <v>0</v>
      </c>
      <c r="AM47" s="310"/>
      <c r="AN47" s="310"/>
      <c r="AO47" s="339"/>
      <c r="AP47" s="339"/>
      <c r="AQ47" s="333"/>
      <c r="AR47" s="312">
        <f t="shared" si="48"/>
        <v>40</v>
      </c>
      <c r="AS47" s="1049" t="str">
        <f>AR47&amp;" "&amp;IF(AU47&lt;&gt;"-",【様式2】職員名簿!B80&amp;"/"&amp;AT47&amp;"/"&amp;AU47,"")</f>
        <v xml:space="preserve">40 </v>
      </c>
      <c r="AT47" s="1049">
        <f>【様式2】職員名簿!E80</f>
        <v>0</v>
      </c>
      <c r="AU47" s="1049" t="str">
        <f>IF(【様式2】職員名簿!J80="エラー","-",【様式2】職員名簿!J80)</f>
        <v>-</v>
      </c>
      <c r="AV47" s="430">
        <f>IF($AT47="常勤",$AM$2,IF($AT47="非常勤",【様式2】職員名簿!G80,0))</f>
        <v>0</v>
      </c>
      <c r="AW47" s="330">
        <f>IF($AU47=AW$3,COUNTIF($AU$8:$AU47,AW$3),0)</f>
        <v>0</v>
      </c>
      <c r="AX47" s="331" t="str">
        <f t="shared" si="1"/>
        <v/>
      </c>
      <c r="AY47" s="332">
        <f>IF($AU47=AY$3,COUNTIF($AU$8:$AU47,AY$3),0)</f>
        <v>0</v>
      </c>
      <c r="AZ47" s="331" t="str">
        <f t="shared" si="2"/>
        <v/>
      </c>
      <c r="BA47" s="332">
        <f>IF($AU47=BA$3,COUNTIFS($AU$8:$AU47,BA$3,$AT$8:$AT47,BA$4),0)</f>
        <v>0</v>
      </c>
      <c r="BB47" s="331" t="str">
        <f t="shared" si="3"/>
        <v/>
      </c>
      <c r="BC47" s="431">
        <f>IF($AU47=BC$3,COUNTIF($AU$8:$AU47,BC$3),0)</f>
        <v>0</v>
      </c>
      <c r="BD47" s="331" t="str">
        <f t="shared" si="4"/>
        <v/>
      </c>
      <c r="BE47" s="312">
        <f>IF(OR($AU47=BE$3,$AU47=BE$4),COUNTIF($AU$8:$AU47,BE$3)+COUNTIF($AU$8:$AU47,BE$4),0)</f>
        <v>0</v>
      </c>
      <c r="BF47" s="331" t="str">
        <f t="shared" si="5"/>
        <v/>
      </c>
      <c r="BG47" s="312">
        <f>IF($AU47=BG$3,COUNTIF($AU$8:$AU47,BG$3),0)</f>
        <v>0</v>
      </c>
      <c r="BH47" s="331" t="str">
        <f t="shared" si="6"/>
        <v/>
      </c>
      <c r="BI47" s="312">
        <f>IF($AU47&lt;&gt;BI$3,COUNTIF($AU$8:$AU47,"&lt;&gt;"&amp;BI$3),0)</f>
        <v>0</v>
      </c>
      <c r="BJ47" s="331" t="str">
        <f t="shared" si="7"/>
        <v/>
      </c>
      <c r="BK47" s="954"/>
      <c r="BL47" s="954"/>
    </row>
    <row r="48" spans="1:64" ht="15" customHeight="1">
      <c r="A48" s="2413"/>
      <c r="B48" s="2255"/>
      <c r="C48" s="2259"/>
      <c r="D48" s="2261" t="str">
        <f t="shared" si="51"/>
        <v/>
      </c>
      <c r="E48" s="2262"/>
      <c r="F48" s="2266"/>
      <c r="G48" s="2267"/>
      <c r="H48" s="2268"/>
      <c r="I48" s="837" t="str">
        <f t="shared" si="62"/>
        <v/>
      </c>
      <c r="J48" s="984" t="str">
        <f t="shared" si="52"/>
        <v/>
      </c>
      <c r="K48" s="1030"/>
      <c r="L48" s="848" t="str">
        <f t="shared" si="53"/>
        <v/>
      </c>
      <c r="M48" s="576">
        <f t="shared" si="54"/>
        <v>0</v>
      </c>
      <c r="N48" s="2481" t="str">
        <f t="shared" si="63"/>
        <v>×</v>
      </c>
      <c r="O48" s="2229" t="str">
        <f t="shared" si="64"/>
        <v>-</v>
      </c>
      <c r="P48" s="335"/>
      <c r="Q48" s="2226"/>
      <c r="R48" s="2226"/>
      <c r="S48" s="2226"/>
      <c r="T48" s="465" t="str">
        <f t="shared" si="49"/>
        <v>保育士</v>
      </c>
      <c r="U48" s="332">
        <f t="shared" si="55"/>
        <v>0</v>
      </c>
      <c r="V48" s="465">
        <v>2</v>
      </c>
      <c r="W48" s="465" t="b">
        <f t="shared" si="56"/>
        <v>0</v>
      </c>
      <c r="X48" s="463" t="b">
        <f t="shared" ca="1" si="57"/>
        <v>0</v>
      </c>
      <c r="Y48" s="425" t="b">
        <f>COUNTIF($AC$25:AC47,AC48)+COUNTIF(AC49:$AC$124,AC48)-COUNTIF(Z48:AB48,AC48)=0</f>
        <v>0</v>
      </c>
      <c r="Z48" s="968" t="s">
        <v>874</v>
      </c>
      <c r="AA48" s="968" t="s">
        <v>874</v>
      </c>
      <c r="AB48" s="968" t="s">
        <v>874</v>
      </c>
      <c r="AC48" s="971">
        <f t="shared" si="58"/>
        <v>0</v>
      </c>
      <c r="AD48" s="431" t="b">
        <f t="shared" si="13"/>
        <v>0</v>
      </c>
      <c r="AE48" s="430" t="b">
        <f t="shared" si="50"/>
        <v>0</v>
      </c>
      <c r="AF48" s="465" t="s">
        <v>874</v>
      </c>
      <c r="AG48" s="466">
        <f t="shared" si="59"/>
        <v>0</v>
      </c>
      <c r="AH48" s="465">
        <v>2</v>
      </c>
      <c r="AI48" s="431">
        <f t="shared" si="60"/>
        <v>2</v>
      </c>
      <c r="AJ48" s="336">
        <f t="shared" si="61"/>
        <v>0</v>
      </c>
      <c r="AM48" s="310"/>
      <c r="AO48" s="339"/>
      <c r="AP48" s="339"/>
      <c r="AQ48" s="333"/>
      <c r="AR48" s="312">
        <f t="shared" si="48"/>
        <v>41</v>
      </c>
      <c r="AS48" s="1049" t="str">
        <f>AR48&amp;" "&amp;IF(AU48&lt;&gt;"-",【様式2】職員名簿!B81&amp;"/"&amp;AT48&amp;"/"&amp;AU48,"")</f>
        <v xml:space="preserve">41 </v>
      </c>
      <c r="AT48" s="1049">
        <f>【様式2】職員名簿!E81</f>
        <v>0</v>
      </c>
      <c r="AU48" s="1049" t="str">
        <f>IF(【様式2】職員名簿!J81="エラー","-",【様式2】職員名簿!J81)</f>
        <v>-</v>
      </c>
      <c r="AV48" s="430">
        <f>IF($AT48="常勤",$AM$2,IF($AT48="非常勤",【様式2】職員名簿!G81,0))</f>
        <v>0</v>
      </c>
      <c r="AW48" s="330">
        <f>IF($AU48=AW$3,COUNTIF($AU$8:$AU48,AW$3),0)</f>
        <v>0</v>
      </c>
      <c r="AX48" s="331" t="str">
        <f t="shared" si="1"/>
        <v/>
      </c>
      <c r="AY48" s="332">
        <f>IF($AU48=AY$3,COUNTIF($AU$8:$AU48,AY$3),0)</f>
        <v>0</v>
      </c>
      <c r="AZ48" s="331" t="str">
        <f t="shared" si="2"/>
        <v/>
      </c>
      <c r="BA48" s="332">
        <f>IF($AU48=BA$3,COUNTIFS($AU$8:$AU48,BA$3,$AT$8:$AT48,BA$4),0)</f>
        <v>0</v>
      </c>
      <c r="BB48" s="331" t="str">
        <f t="shared" si="3"/>
        <v/>
      </c>
      <c r="BC48" s="431">
        <f>IF($AU48=BC$3,COUNTIF($AU$8:$AU48,BC$3),0)</f>
        <v>0</v>
      </c>
      <c r="BD48" s="331" t="str">
        <f t="shared" si="4"/>
        <v/>
      </c>
      <c r="BE48" s="312">
        <f>IF(OR($AU48=BE$3,$AU48=BE$4),COUNTIF($AU$8:$AU48,BE$3)+COUNTIF($AU$8:$AU48,BE$4),0)</f>
        <v>0</v>
      </c>
      <c r="BF48" s="331" t="str">
        <f t="shared" si="5"/>
        <v/>
      </c>
      <c r="BG48" s="312">
        <f>IF($AU48=BG$3,COUNTIF($AU$8:$AU48,BG$3),0)</f>
        <v>0</v>
      </c>
      <c r="BH48" s="331" t="str">
        <f t="shared" si="6"/>
        <v/>
      </c>
      <c r="BI48" s="312">
        <f>IF($AU48&lt;&gt;BI$3,COUNTIF($AU$8:$AU48,"&lt;&gt;"&amp;BI$3),0)</f>
        <v>0</v>
      </c>
      <c r="BJ48" s="331" t="str">
        <f t="shared" si="7"/>
        <v/>
      </c>
      <c r="BK48" s="954"/>
      <c r="BL48" s="954"/>
    </row>
    <row r="49" spans="1:64" ht="15" customHeight="1">
      <c r="A49" s="2413"/>
      <c r="B49" s="2255"/>
      <c r="C49" s="2259" t="s">
        <v>1086</v>
      </c>
      <c r="D49" s="2261" t="str">
        <f t="shared" si="51"/>
        <v/>
      </c>
      <c r="E49" s="2262"/>
      <c r="F49" s="2266"/>
      <c r="G49" s="2267"/>
      <c r="H49" s="2268"/>
      <c r="I49" s="837" t="str">
        <f t="shared" si="62"/>
        <v/>
      </c>
      <c r="J49" s="984" t="str">
        <f t="shared" si="52"/>
        <v/>
      </c>
      <c r="K49" s="1030"/>
      <c r="L49" s="848" t="str">
        <f t="shared" si="53"/>
        <v/>
      </c>
      <c r="M49" s="576">
        <f t="shared" si="54"/>
        <v>0</v>
      </c>
      <c r="N49" s="2481" t="str">
        <f t="shared" si="63"/>
        <v>×</v>
      </c>
      <c r="O49" s="2229" t="str">
        <f t="shared" si="64"/>
        <v>-</v>
      </c>
      <c r="P49" s="335"/>
      <c r="Q49" s="2226"/>
      <c r="R49" s="2226"/>
      <c r="S49" s="2226"/>
      <c r="T49" s="465" t="str">
        <f t="shared" si="49"/>
        <v>保育士</v>
      </c>
      <c r="U49" s="332">
        <f t="shared" si="55"/>
        <v>0</v>
      </c>
      <c r="V49" s="465">
        <v>2</v>
      </c>
      <c r="W49" s="465" t="b">
        <f t="shared" si="56"/>
        <v>0</v>
      </c>
      <c r="X49" s="463" t="b">
        <f t="shared" ca="1" si="57"/>
        <v>0</v>
      </c>
      <c r="Y49" s="425" t="b">
        <f>COUNTIF($AC$25:AC48,AC49)+COUNTIF(AC50:$AC$124,AC49)-COUNTIF(Z49:AB49,AC49)=0</f>
        <v>0</v>
      </c>
      <c r="Z49" s="968" t="s">
        <v>874</v>
      </c>
      <c r="AA49" s="968" t="s">
        <v>874</v>
      </c>
      <c r="AB49" s="968" t="s">
        <v>874</v>
      </c>
      <c r="AC49" s="971">
        <f t="shared" si="58"/>
        <v>0</v>
      </c>
      <c r="AD49" s="431" t="b">
        <f t="shared" si="13"/>
        <v>0</v>
      </c>
      <c r="AE49" s="430" t="b">
        <f t="shared" si="50"/>
        <v>0</v>
      </c>
      <c r="AF49" s="465" t="s">
        <v>874</v>
      </c>
      <c r="AG49" s="466">
        <f t="shared" si="59"/>
        <v>0</v>
      </c>
      <c r="AH49" s="465">
        <v>2</v>
      </c>
      <c r="AI49" s="431">
        <f t="shared" si="60"/>
        <v>2</v>
      </c>
      <c r="AJ49" s="336">
        <f t="shared" si="61"/>
        <v>0</v>
      </c>
      <c r="AM49" s="310"/>
      <c r="AO49" s="339"/>
      <c r="AP49" s="339"/>
      <c r="AQ49" s="333"/>
      <c r="AR49" s="312">
        <f t="shared" si="48"/>
        <v>42</v>
      </c>
      <c r="AS49" s="1049" t="str">
        <f>AR49&amp;" "&amp;IF(AU49&lt;&gt;"-",【様式2】職員名簿!B82&amp;"/"&amp;AT49&amp;"/"&amp;AU49,"")</f>
        <v xml:space="preserve">42 </v>
      </c>
      <c r="AT49" s="1049">
        <f>【様式2】職員名簿!E82</f>
        <v>0</v>
      </c>
      <c r="AU49" s="1049" t="str">
        <f>IF(【様式2】職員名簿!J82="エラー","-",【様式2】職員名簿!J82)</f>
        <v>-</v>
      </c>
      <c r="AV49" s="430">
        <f>IF($AT49="常勤",$AM$2,IF($AT49="非常勤",【様式2】職員名簿!G82,0))</f>
        <v>0</v>
      </c>
      <c r="AW49" s="330">
        <f>IF($AU49=AW$3,COUNTIF($AU$8:$AU49,AW$3),0)</f>
        <v>0</v>
      </c>
      <c r="AX49" s="331" t="str">
        <f t="shared" si="1"/>
        <v/>
      </c>
      <c r="AY49" s="332">
        <f>IF($AU49=AY$3,COUNTIF($AU$8:$AU49,AY$3),0)</f>
        <v>0</v>
      </c>
      <c r="AZ49" s="331" t="str">
        <f t="shared" si="2"/>
        <v/>
      </c>
      <c r="BA49" s="332">
        <f>IF($AU49=BA$3,COUNTIFS($AU$8:$AU49,BA$3,$AT$8:$AT49,BA$4),0)</f>
        <v>0</v>
      </c>
      <c r="BB49" s="331" t="str">
        <f t="shared" si="3"/>
        <v/>
      </c>
      <c r="BC49" s="431">
        <f>IF($AU49=BC$3,COUNTIF($AU$8:$AU49,BC$3),0)</f>
        <v>0</v>
      </c>
      <c r="BD49" s="331" t="str">
        <f t="shared" si="4"/>
        <v/>
      </c>
      <c r="BE49" s="312">
        <f>IF(OR($AU49=BE$3,$AU49=BE$4),COUNTIF($AU$8:$AU49,BE$3)+COUNTIF($AU$8:$AU49,BE$4),0)</f>
        <v>0</v>
      </c>
      <c r="BF49" s="331" t="str">
        <f t="shared" si="5"/>
        <v/>
      </c>
      <c r="BG49" s="312">
        <f>IF($AU49=BG$3,COUNTIF($AU$8:$AU49,BG$3),0)</f>
        <v>0</v>
      </c>
      <c r="BH49" s="331" t="str">
        <f t="shared" si="6"/>
        <v/>
      </c>
      <c r="BI49" s="312">
        <f>IF($AU49&lt;&gt;BI$3,COUNTIF($AU$8:$AU49,"&lt;&gt;"&amp;BI$3),0)</f>
        <v>0</v>
      </c>
      <c r="BJ49" s="331" t="str">
        <f t="shared" si="7"/>
        <v/>
      </c>
      <c r="BK49" s="954"/>
      <c r="BL49" s="954"/>
    </row>
    <row r="50" spans="1:64" ht="15" customHeight="1">
      <c r="A50" s="2413"/>
      <c r="B50" s="2255"/>
      <c r="C50" s="2259"/>
      <c r="D50" s="2261" t="str">
        <f t="shared" si="51"/>
        <v/>
      </c>
      <c r="E50" s="2262"/>
      <c r="F50" s="2266"/>
      <c r="G50" s="2267"/>
      <c r="H50" s="2268"/>
      <c r="I50" s="837" t="str">
        <f t="shared" si="62"/>
        <v/>
      </c>
      <c r="J50" s="984" t="str">
        <f t="shared" si="52"/>
        <v/>
      </c>
      <c r="K50" s="1030"/>
      <c r="L50" s="848" t="str">
        <f t="shared" si="53"/>
        <v/>
      </c>
      <c r="M50" s="576">
        <f t="shared" si="54"/>
        <v>0</v>
      </c>
      <c r="N50" s="2481" t="str">
        <f t="shared" si="63"/>
        <v>×</v>
      </c>
      <c r="O50" s="2229" t="str">
        <f t="shared" si="64"/>
        <v>-</v>
      </c>
      <c r="P50" s="335"/>
      <c r="Q50" s="2226"/>
      <c r="R50" s="2226"/>
      <c r="S50" s="2226"/>
      <c r="T50" s="465" t="str">
        <f t="shared" si="49"/>
        <v>保育士</v>
      </c>
      <c r="U50" s="332">
        <f t="shared" si="55"/>
        <v>0</v>
      </c>
      <c r="V50" s="465">
        <v>2</v>
      </c>
      <c r="W50" s="465" t="b">
        <f t="shared" si="56"/>
        <v>0</v>
      </c>
      <c r="X50" s="463" t="b">
        <f t="shared" ca="1" si="57"/>
        <v>0</v>
      </c>
      <c r="Y50" s="425" t="b">
        <f>COUNTIF($AC$25:AC49,AC50)+COUNTIF(AC51:$AC$124,AC50)-COUNTIF(Z50:AB50,AC50)=0</f>
        <v>0</v>
      </c>
      <c r="Z50" s="968" t="s">
        <v>874</v>
      </c>
      <c r="AA50" s="968" t="s">
        <v>874</v>
      </c>
      <c r="AB50" s="968" t="s">
        <v>874</v>
      </c>
      <c r="AC50" s="971">
        <f t="shared" si="58"/>
        <v>0</v>
      </c>
      <c r="AD50" s="431" t="b">
        <f t="shared" si="13"/>
        <v>0</v>
      </c>
      <c r="AE50" s="430" t="b">
        <f t="shared" si="50"/>
        <v>0</v>
      </c>
      <c r="AF50" s="465" t="s">
        <v>874</v>
      </c>
      <c r="AG50" s="466">
        <f t="shared" si="59"/>
        <v>0</v>
      </c>
      <c r="AH50" s="465">
        <v>2</v>
      </c>
      <c r="AI50" s="431">
        <f t="shared" si="60"/>
        <v>2</v>
      </c>
      <c r="AJ50" s="336">
        <f t="shared" si="61"/>
        <v>0</v>
      </c>
      <c r="AM50" s="310"/>
      <c r="AO50" s="339"/>
      <c r="AP50" s="339"/>
      <c r="AQ50" s="333"/>
      <c r="AR50" s="312">
        <f t="shared" si="48"/>
        <v>43</v>
      </c>
      <c r="AS50" s="1049" t="str">
        <f>AR50&amp;" "&amp;IF(AU50&lt;&gt;"-",【様式2】職員名簿!B83&amp;"/"&amp;AT50&amp;"/"&amp;AU50,"")</f>
        <v xml:space="preserve">43 </v>
      </c>
      <c r="AT50" s="1049">
        <f>【様式2】職員名簿!E83</f>
        <v>0</v>
      </c>
      <c r="AU50" s="1049" t="str">
        <f>IF(【様式2】職員名簿!J83="エラー","-",【様式2】職員名簿!J83)</f>
        <v>-</v>
      </c>
      <c r="AV50" s="430">
        <f>IF($AT50="常勤",$AM$2,IF($AT50="非常勤",【様式2】職員名簿!G83,0))</f>
        <v>0</v>
      </c>
      <c r="AW50" s="330">
        <f>IF($AU50=AW$3,COUNTIF($AU$8:$AU50,AW$3),0)</f>
        <v>0</v>
      </c>
      <c r="AX50" s="331" t="str">
        <f t="shared" si="1"/>
        <v/>
      </c>
      <c r="AY50" s="332">
        <f>IF($AU50=AY$3,COUNTIF($AU$8:$AU50,AY$3),0)</f>
        <v>0</v>
      </c>
      <c r="AZ50" s="331" t="str">
        <f t="shared" si="2"/>
        <v/>
      </c>
      <c r="BA50" s="332">
        <f>IF($AU50=BA$3,COUNTIFS($AU$8:$AU50,BA$3,$AT$8:$AT50,BA$4),0)</f>
        <v>0</v>
      </c>
      <c r="BB50" s="331" t="str">
        <f t="shared" si="3"/>
        <v/>
      </c>
      <c r="BC50" s="431">
        <f>IF($AU50=BC$3,COUNTIF($AU$8:$AU50,BC$3),0)</f>
        <v>0</v>
      </c>
      <c r="BD50" s="331" t="str">
        <f t="shared" si="4"/>
        <v/>
      </c>
      <c r="BE50" s="312">
        <f>IF(OR($AU50=BE$3,$AU50=BE$4),COUNTIF($AU$8:$AU50,BE$3)+COUNTIF($AU$8:$AU50,BE$4),0)</f>
        <v>0</v>
      </c>
      <c r="BF50" s="331" t="str">
        <f t="shared" si="5"/>
        <v/>
      </c>
      <c r="BG50" s="312">
        <f>IF($AU50=BG$3,COUNTIF($AU$8:$AU50,BG$3),0)</f>
        <v>0</v>
      </c>
      <c r="BH50" s="331" t="str">
        <f t="shared" si="6"/>
        <v/>
      </c>
      <c r="BI50" s="312">
        <f>IF($AU50&lt;&gt;BI$3,COUNTIF($AU$8:$AU50,"&lt;&gt;"&amp;BI$3),0)</f>
        <v>0</v>
      </c>
      <c r="BJ50" s="331" t="str">
        <f t="shared" si="7"/>
        <v/>
      </c>
      <c r="BK50" s="954"/>
      <c r="BL50" s="954"/>
    </row>
    <row r="51" spans="1:64" ht="15" customHeight="1">
      <c r="A51" s="2413"/>
      <c r="B51" s="2255"/>
      <c r="C51" s="2259"/>
      <c r="D51" s="2261" t="str">
        <f t="shared" si="51"/>
        <v/>
      </c>
      <c r="E51" s="2262"/>
      <c r="F51" s="2266"/>
      <c r="G51" s="2267"/>
      <c r="H51" s="2268"/>
      <c r="I51" s="837" t="str">
        <f t="shared" si="62"/>
        <v/>
      </c>
      <c r="J51" s="984" t="str">
        <f t="shared" si="52"/>
        <v/>
      </c>
      <c r="K51" s="1030"/>
      <c r="L51" s="848" t="str">
        <f t="shared" si="53"/>
        <v/>
      </c>
      <c r="M51" s="576">
        <f t="shared" si="54"/>
        <v>0</v>
      </c>
      <c r="N51" s="2481" t="str">
        <f t="shared" si="63"/>
        <v>×</v>
      </c>
      <c r="O51" s="2229" t="str">
        <f t="shared" si="64"/>
        <v>-</v>
      </c>
      <c r="P51" s="335"/>
      <c r="Q51" s="2226"/>
      <c r="R51" s="2226"/>
      <c r="S51" s="2226"/>
      <c r="T51" s="465" t="str">
        <f t="shared" si="49"/>
        <v>保育士</v>
      </c>
      <c r="U51" s="332">
        <f t="shared" si="55"/>
        <v>0</v>
      </c>
      <c r="V51" s="465">
        <v>2</v>
      </c>
      <c r="W51" s="465" t="b">
        <f t="shared" si="56"/>
        <v>0</v>
      </c>
      <c r="X51" s="463" t="b">
        <f t="shared" ca="1" si="57"/>
        <v>0</v>
      </c>
      <c r="Y51" s="425" t="b">
        <f>COUNTIF($AC$25:AC50,AC51)+COUNTIF(AC52:$AC$124,AC51)-COUNTIF(Z51:AB51,AC51)=0</f>
        <v>0</v>
      </c>
      <c r="Z51" s="968" t="s">
        <v>874</v>
      </c>
      <c r="AA51" s="968" t="s">
        <v>874</v>
      </c>
      <c r="AB51" s="968" t="s">
        <v>874</v>
      </c>
      <c r="AC51" s="971">
        <f t="shared" si="58"/>
        <v>0</v>
      </c>
      <c r="AD51" s="431" t="b">
        <f t="shared" si="13"/>
        <v>0</v>
      </c>
      <c r="AE51" s="430" t="b">
        <f t="shared" si="50"/>
        <v>0</v>
      </c>
      <c r="AF51" s="465" t="s">
        <v>874</v>
      </c>
      <c r="AG51" s="466">
        <f t="shared" si="59"/>
        <v>0</v>
      </c>
      <c r="AH51" s="465">
        <v>2</v>
      </c>
      <c r="AI51" s="431">
        <f t="shared" si="60"/>
        <v>2</v>
      </c>
      <c r="AJ51" s="336">
        <f t="shared" si="61"/>
        <v>0</v>
      </c>
      <c r="AM51" s="310"/>
      <c r="AO51" s="339"/>
      <c r="AP51" s="339"/>
      <c r="AQ51" s="333"/>
      <c r="AR51" s="312">
        <f t="shared" si="48"/>
        <v>44</v>
      </c>
      <c r="AS51" s="1049" t="str">
        <f>AR51&amp;" "&amp;IF(AU51&lt;&gt;"-",【様式2】職員名簿!B84&amp;"/"&amp;AT51&amp;"/"&amp;AU51,"")</f>
        <v xml:space="preserve">44 </v>
      </c>
      <c r="AT51" s="1049">
        <f>【様式2】職員名簿!E84</f>
        <v>0</v>
      </c>
      <c r="AU51" s="1049" t="str">
        <f>IF(【様式2】職員名簿!J84="エラー","-",【様式2】職員名簿!J84)</f>
        <v>-</v>
      </c>
      <c r="AV51" s="430">
        <f>IF($AT51="常勤",$AM$2,IF($AT51="非常勤",【様式2】職員名簿!G84,0))</f>
        <v>0</v>
      </c>
      <c r="AW51" s="330">
        <f>IF($AU51=AW$3,COUNTIF($AU$8:$AU51,AW$3),0)</f>
        <v>0</v>
      </c>
      <c r="AX51" s="331" t="str">
        <f t="shared" si="1"/>
        <v/>
      </c>
      <c r="AY51" s="332">
        <f>IF($AU51=AY$3,COUNTIF($AU$8:$AU51,AY$3),0)</f>
        <v>0</v>
      </c>
      <c r="AZ51" s="331" t="str">
        <f t="shared" si="2"/>
        <v/>
      </c>
      <c r="BA51" s="332">
        <f>IF($AU51=BA$3,COUNTIFS($AU$8:$AU51,BA$3,$AT$8:$AT51,BA$4),0)</f>
        <v>0</v>
      </c>
      <c r="BB51" s="331" t="str">
        <f t="shared" si="3"/>
        <v/>
      </c>
      <c r="BC51" s="431">
        <f>IF($AU51=BC$3,COUNTIF($AU$8:$AU51,BC$3),0)</f>
        <v>0</v>
      </c>
      <c r="BD51" s="331" t="str">
        <f t="shared" si="4"/>
        <v/>
      </c>
      <c r="BE51" s="312">
        <f>IF(OR($AU51=BE$3,$AU51=BE$4),COUNTIF($AU$8:$AU51,BE$3)+COUNTIF($AU$8:$AU51,BE$4),0)</f>
        <v>0</v>
      </c>
      <c r="BF51" s="331" t="str">
        <f t="shared" si="5"/>
        <v/>
      </c>
      <c r="BG51" s="312">
        <f>IF($AU51=BG$3,COUNTIF($AU$8:$AU51,BG$3),0)</f>
        <v>0</v>
      </c>
      <c r="BH51" s="331" t="str">
        <f t="shared" si="6"/>
        <v/>
      </c>
      <c r="BI51" s="312">
        <f>IF($AU51&lt;&gt;BI$3,COUNTIF($AU$8:$AU51,"&lt;&gt;"&amp;BI$3),0)</f>
        <v>0</v>
      </c>
      <c r="BJ51" s="331" t="str">
        <f t="shared" si="7"/>
        <v/>
      </c>
      <c r="BK51" s="954"/>
      <c r="BL51" s="954"/>
    </row>
    <row r="52" spans="1:64" ht="15" customHeight="1">
      <c r="A52" s="2413"/>
      <c r="B52" s="2256"/>
      <c r="C52" s="2260"/>
      <c r="D52" s="2274" t="str">
        <f t="shared" si="51"/>
        <v/>
      </c>
      <c r="E52" s="2275"/>
      <c r="F52" s="2263"/>
      <c r="G52" s="2264"/>
      <c r="H52" s="2265"/>
      <c r="I52" s="836" t="str">
        <f t="shared" si="62"/>
        <v/>
      </c>
      <c r="J52" s="530" t="str">
        <f t="shared" si="52"/>
        <v/>
      </c>
      <c r="K52" s="1032"/>
      <c r="L52" s="855" t="str">
        <f t="shared" si="53"/>
        <v/>
      </c>
      <c r="M52" s="533">
        <f t="shared" si="54"/>
        <v>0</v>
      </c>
      <c r="N52" s="2482" t="str">
        <f t="shared" si="63"/>
        <v>×</v>
      </c>
      <c r="O52" s="2230" t="str">
        <f t="shared" si="64"/>
        <v>-</v>
      </c>
      <c r="P52" s="335"/>
      <c r="Q52" s="2227"/>
      <c r="R52" s="2227"/>
      <c r="S52" s="2227"/>
      <c r="T52" s="465" t="str">
        <f t="shared" si="49"/>
        <v>保育士</v>
      </c>
      <c r="U52" s="332">
        <f t="shared" si="55"/>
        <v>0</v>
      </c>
      <c r="V52" s="465">
        <v>2</v>
      </c>
      <c r="W52" s="465" t="b">
        <f>AND($Q$43,$R$43)</f>
        <v>0</v>
      </c>
      <c r="X52" s="463" t="b">
        <f t="shared" ca="1" si="57"/>
        <v>0</v>
      </c>
      <c r="Y52" s="425" t="b">
        <f>COUNTIF($AC$25:AC51,AC52)+COUNTIF(AC57:$AC$124,AC52)-COUNTIF(Z52:AB52,AC52)=0</f>
        <v>0</v>
      </c>
      <c r="Z52" s="968" t="s">
        <v>874</v>
      </c>
      <c r="AA52" s="968" t="s">
        <v>874</v>
      </c>
      <c r="AB52" s="968" t="s">
        <v>874</v>
      </c>
      <c r="AC52" s="971">
        <f t="shared" si="58"/>
        <v>0</v>
      </c>
      <c r="AD52" s="431" t="b">
        <f t="shared" si="13"/>
        <v>0</v>
      </c>
      <c r="AE52" s="430" t="b">
        <f t="shared" si="50"/>
        <v>0</v>
      </c>
      <c r="AF52" s="465" t="s">
        <v>874</v>
      </c>
      <c r="AG52" s="466">
        <f t="shared" si="59"/>
        <v>0</v>
      </c>
      <c r="AH52" s="465">
        <v>2</v>
      </c>
      <c r="AI52" s="431">
        <f t="shared" si="60"/>
        <v>2</v>
      </c>
      <c r="AJ52" s="336">
        <f t="shared" si="61"/>
        <v>0</v>
      </c>
      <c r="AM52" s="310"/>
      <c r="AO52" s="339"/>
      <c r="AP52" s="339"/>
      <c r="AQ52" s="333"/>
      <c r="AR52" s="312">
        <f t="shared" si="48"/>
        <v>45</v>
      </c>
      <c r="AS52" s="1049" t="str">
        <f>AR52&amp;" "&amp;IF(AU52&lt;&gt;"-",【様式2】職員名簿!B85&amp;"/"&amp;AT52&amp;"/"&amp;AU52,"")</f>
        <v xml:space="preserve">45 </v>
      </c>
      <c r="AT52" s="1049">
        <f>【様式2】職員名簿!E85</f>
        <v>0</v>
      </c>
      <c r="AU52" s="1049" t="str">
        <f>IF(【様式2】職員名簿!J85="エラー","-",【様式2】職員名簿!J85)</f>
        <v>-</v>
      </c>
      <c r="AV52" s="430">
        <f>IF($AT52="常勤",$AM$2,IF($AT52="非常勤",【様式2】職員名簿!G85,0))</f>
        <v>0</v>
      </c>
      <c r="AW52" s="330">
        <f>IF($AU52=AW$3,COUNTIF($AU$8:$AU52,AW$3),0)</f>
        <v>0</v>
      </c>
      <c r="AX52" s="331" t="str">
        <f t="shared" si="1"/>
        <v/>
      </c>
      <c r="AY52" s="332">
        <f>IF($AU52=AY$3,COUNTIF($AU$8:$AU52,AY$3),0)</f>
        <v>0</v>
      </c>
      <c r="AZ52" s="331" t="str">
        <f t="shared" si="2"/>
        <v/>
      </c>
      <c r="BA52" s="332">
        <f>IF($AU52=BA$3,COUNTIFS($AU$8:$AU52,BA$3,$AT$8:$AT52,BA$4),0)</f>
        <v>0</v>
      </c>
      <c r="BB52" s="331" t="str">
        <f t="shared" si="3"/>
        <v/>
      </c>
      <c r="BC52" s="431">
        <f>IF($AU52=BC$3,COUNTIF($AU$8:$AU52,BC$3),0)</f>
        <v>0</v>
      </c>
      <c r="BD52" s="331" t="str">
        <f t="shared" si="4"/>
        <v/>
      </c>
      <c r="BE52" s="312">
        <f>IF(OR($AU52=BE$3,$AU52=BE$4),COUNTIF($AU$8:$AU52,BE$3)+COUNTIF($AU$8:$AU52,BE$4),0)</f>
        <v>0</v>
      </c>
      <c r="BF52" s="331" t="str">
        <f t="shared" si="5"/>
        <v/>
      </c>
      <c r="BG52" s="312">
        <f>IF($AU52=BG$3,COUNTIF($AU$8:$AU52,BG$3),0)</f>
        <v>0</v>
      </c>
      <c r="BH52" s="331" t="str">
        <f t="shared" si="6"/>
        <v/>
      </c>
      <c r="BI52" s="312">
        <f>IF($AU52&lt;&gt;BI$3,COUNTIF($AU$8:$AU52,"&lt;&gt;"&amp;BI$3),0)</f>
        <v>0</v>
      </c>
      <c r="BJ52" s="331" t="str">
        <f t="shared" si="7"/>
        <v/>
      </c>
      <c r="BK52" s="954"/>
      <c r="BL52" s="954"/>
    </row>
    <row r="53" spans="1:64" ht="15" customHeight="1">
      <c r="A53" s="2413"/>
      <c r="B53" s="2288" t="s">
        <v>1258</v>
      </c>
      <c r="C53" s="2294" t="s">
        <v>1259</v>
      </c>
      <c r="D53" s="2302" t="s">
        <v>1250</v>
      </c>
      <c r="E53" s="2303"/>
      <c r="F53" s="2628" t="s">
        <v>1254</v>
      </c>
      <c r="G53" s="2629"/>
      <c r="H53" s="2629"/>
      <c r="I53" s="2629"/>
      <c r="J53" s="1161">
        <f>IF(I131-M153&gt;0,I131-M153,0)</f>
        <v>0</v>
      </c>
      <c r="K53" s="1160" t="s">
        <v>874</v>
      </c>
      <c r="L53" s="861" t="s">
        <v>874</v>
      </c>
      <c r="M53" s="850" t="s">
        <v>874</v>
      </c>
      <c r="N53" s="2480" t="str">
        <f>IF(Q57,"○","×")</f>
        <v>×</v>
      </c>
      <c r="O53" s="2228" t="str">
        <f>IF(Q57,IF(S57,"○","×"),"-")</f>
        <v>-</v>
      </c>
      <c r="P53" s="335"/>
      <c r="Q53" s="2225" t="s">
        <v>1260</v>
      </c>
      <c r="R53" s="2225">
        <f>【様式１】総括表・個票!F141</f>
        <v>0</v>
      </c>
      <c r="S53" s="2225" t="s">
        <v>1260</v>
      </c>
      <c r="T53" s="465"/>
      <c r="U53" s="332"/>
      <c r="V53" s="465"/>
      <c r="W53" s="465"/>
      <c r="X53" s="463"/>
      <c r="Y53" s="425"/>
      <c r="Z53" s="1157"/>
      <c r="AA53" s="1157"/>
      <c r="AB53" s="1157"/>
      <c r="AC53" s="1159"/>
      <c r="AD53" s="431"/>
      <c r="AE53" s="430"/>
      <c r="AF53" s="465"/>
      <c r="AG53" s="466"/>
      <c r="AH53" s="465"/>
      <c r="AI53" s="431"/>
      <c r="AJ53" s="336"/>
      <c r="AM53" s="310"/>
      <c r="AO53" s="339"/>
      <c r="AP53" s="339"/>
      <c r="AQ53" s="333"/>
      <c r="AR53" s="312"/>
      <c r="AS53" s="1158"/>
      <c r="AT53" s="1158"/>
      <c r="AU53" s="1158"/>
      <c r="AV53" s="430"/>
      <c r="AW53" s="330"/>
      <c r="AX53" s="331"/>
      <c r="AY53" s="332"/>
      <c r="AZ53" s="331"/>
      <c r="BA53" s="332"/>
      <c r="BB53" s="331"/>
      <c r="BC53" s="431"/>
      <c r="BD53" s="331"/>
      <c r="BE53" s="312"/>
      <c r="BF53" s="331"/>
      <c r="BG53" s="312"/>
      <c r="BH53" s="331"/>
      <c r="BI53" s="312"/>
      <c r="BJ53" s="331"/>
      <c r="BK53" s="1154"/>
      <c r="BL53" s="1154"/>
    </row>
    <row r="54" spans="1:64" ht="15" customHeight="1">
      <c r="A54" s="2413"/>
      <c r="B54" s="2289"/>
      <c r="C54" s="2259"/>
      <c r="D54" s="1155"/>
      <c r="E54" s="1156"/>
      <c r="F54" s="2630" t="s">
        <v>1251</v>
      </c>
      <c r="G54" s="2631"/>
      <c r="H54" s="2631"/>
      <c r="I54" s="2631"/>
      <c r="J54" s="1162">
        <f>IFERROR(ROUND(J53,0),0)</f>
        <v>0</v>
      </c>
      <c r="K54" s="1160" t="s">
        <v>874</v>
      </c>
      <c r="L54" s="861" t="s">
        <v>874</v>
      </c>
      <c r="M54" s="850" t="s">
        <v>874</v>
      </c>
      <c r="N54" s="2481"/>
      <c r="O54" s="2229"/>
      <c r="P54" s="335"/>
      <c r="Q54" s="2226"/>
      <c r="R54" s="2226"/>
      <c r="S54" s="2226"/>
      <c r="T54" s="465"/>
      <c r="U54" s="332"/>
      <c r="V54" s="465"/>
      <c r="W54" s="465"/>
      <c r="X54" s="463"/>
      <c r="Y54" s="425"/>
      <c r="Z54" s="1157"/>
      <c r="AA54" s="1157"/>
      <c r="AB54" s="1157"/>
      <c r="AC54" s="1159"/>
      <c r="AD54" s="431"/>
      <c r="AE54" s="430"/>
      <c r="AF54" s="465"/>
      <c r="AG54" s="466"/>
      <c r="AH54" s="465"/>
      <c r="AI54" s="431"/>
      <c r="AJ54" s="336"/>
      <c r="AM54" s="310"/>
      <c r="AO54" s="339"/>
      <c r="AP54" s="339"/>
      <c r="AQ54" s="333"/>
      <c r="AR54" s="312"/>
      <c r="AS54" s="1158"/>
      <c r="AT54" s="1158"/>
      <c r="AU54" s="1158"/>
      <c r="AV54" s="430"/>
      <c r="AW54" s="330"/>
      <c r="AX54" s="331"/>
      <c r="AY54" s="332"/>
      <c r="AZ54" s="331"/>
      <c r="BA54" s="332"/>
      <c r="BB54" s="331"/>
      <c r="BC54" s="431"/>
      <c r="BD54" s="331"/>
      <c r="BE54" s="312"/>
      <c r="BF54" s="331"/>
      <c r="BG54" s="312"/>
      <c r="BH54" s="331"/>
      <c r="BI54" s="312"/>
      <c r="BJ54" s="331"/>
      <c r="BK54" s="1154"/>
      <c r="BL54" s="1154"/>
    </row>
    <row r="55" spans="1:64" ht="15" customHeight="1">
      <c r="A55" s="2413"/>
      <c r="B55" s="2289"/>
      <c r="C55" s="2259"/>
      <c r="D55" s="2272">
        <f>R53</f>
        <v>0</v>
      </c>
      <c r="E55" s="2273"/>
      <c r="F55" s="2630" t="s">
        <v>1252</v>
      </c>
      <c r="G55" s="2631"/>
      <c r="H55" s="2631"/>
      <c r="I55" s="2631"/>
      <c r="J55" s="1162">
        <f>【様式１】総括表・個票!$M$137</f>
        <v>1</v>
      </c>
      <c r="K55" s="1160" t="s">
        <v>874</v>
      </c>
      <c r="L55" s="861" t="s">
        <v>874</v>
      </c>
      <c r="M55" s="850" t="s">
        <v>874</v>
      </c>
      <c r="N55" s="2481"/>
      <c r="O55" s="2229"/>
      <c r="P55" s="335"/>
      <c r="Q55" s="2226"/>
      <c r="R55" s="2226"/>
      <c r="S55" s="2226"/>
      <c r="T55" s="465"/>
      <c r="U55" s="332"/>
      <c r="V55" s="465"/>
      <c r="W55" s="465"/>
      <c r="X55" s="463"/>
      <c r="Y55" s="425"/>
      <c r="Z55" s="1157"/>
      <c r="AA55" s="1157"/>
      <c r="AB55" s="1157"/>
      <c r="AC55" s="1159"/>
      <c r="AD55" s="431"/>
      <c r="AE55" s="430"/>
      <c r="AF55" s="465"/>
      <c r="AG55" s="466"/>
      <c r="AH55" s="465"/>
      <c r="AI55" s="431"/>
      <c r="AJ55" s="336"/>
      <c r="AM55" s="310"/>
      <c r="AO55" s="339"/>
      <c r="AP55" s="339"/>
      <c r="AQ55" s="333"/>
      <c r="AR55" s="312"/>
      <c r="AS55" s="1158"/>
      <c r="AT55" s="1158"/>
      <c r="AU55" s="1158"/>
      <c r="AV55" s="430"/>
      <c r="AW55" s="330"/>
      <c r="AX55" s="331"/>
      <c r="AY55" s="332"/>
      <c r="AZ55" s="331"/>
      <c r="BA55" s="332"/>
      <c r="BB55" s="331"/>
      <c r="BC55" s="431"/>
      <c r="BD55" s="331"/>
      <c r="BE55" s="312"/>
      <c r="BF55" s="331"/>
      <c r="BG55" s="312"/>
      <c r="BH55" s="331"/>
      <c r="BI55" s="312"/>
      <c r="BJ55" s="331"/>
      <c r="BK55" s="1154"/>
      <c r="BL55" s="1154"/>
    </row>
    <row r="56" spans="1:64" ht="15" customHeight="1">
      <c r="A56" s="2413"/>
      <c r="B56" s="2289"/>
      <c r="C56" s="2295"/>
      <c r="D56" s="1173"/>
      <c r="E56" s="1174"/>
      <c r="F56" s="2283" t="s">
        <v>1253</v>
      </c>
      <c r="G56" s="2284"/>
      <c r="H56" s="2284"/>
      <c r="I56" s="2284"/>
      <c r="J56" s="1175">
        <f>MIN(J54:J55)</f>
        <v>0</v>
      </c>
      <c r="K56" s="1176" t="s">
        <v>874</v>
      </c>
      <c r="L56" s="1171" t="s">
        <v>874</v>
      </c>
      <c r="M56" s="1172" t="s">
        <v>874</v>
      </c>
      <c r="N56" s="2481"/>
      <c r="O56" s="2229"/>
      <c r="P56" s="335"/>
      <c r="Q56" s="2227"/>
      <c r="R56" s="2227"/>
      <c r="S56" s="2227"/>
      <c r="T56" s="465"/>
      <c r="U56" s="332"/>
      <c r="V56" s="465"/>
      <c r="W56" s="465"/>
      <c r="X56" s="463"/>
      <c r="Y56" s="425"/>
      <c r="Z56" s="1157"/>
      <c r="AA56" s="1157"/>
      <c r="AB56" s="1157"/>
      <c r="AC56" s="1159"/>
      <c r="AD56" s="431"/>
      <c r="AE56" s="430"/>
      <c r="AF56" s="465"/>
      <c r="AG56" s="466"/>
      <c r="AH56" s="465"/>
      <c r="AI56" s="431"/>
      <c r="AJ56" s="336"/>
      <c r="AM56" s="310"/>
      <c r="AO56" s="339"/>
      <c r="AP56" s="339"/>
      <c r="AQ56" s="333"/>
      <c r="AR56" s="312"/>
      <c r="AS56" s="1158"/>
      <c r="AT56" s="1158"/>
      <c r="AU56" s="1158"/>
      <c r="AV56" s="430"/>
      <c r="AW56" s="330"/>
      <c r="AX56" s="331"/>
      <c r="AY56" s="332"/>
      <c r="AZ56" s="331"/>
      <c r="BA56" s="332"/>
      <c r="BB56" s="331"/>
      <c r="BC56" s="431"/>
      <c r="BD56" s="331"/>
      <c r="BE56" s="312"/>
      <c r="BF56" s="331"/>
      <c r="BG56" s="312"/>
      <c r="BH56" s="331"/>
      <c r="BI56" s="312"/>
      <c r="BJ56" s="331"/>
      <c r="BK56" s="1154"/>
      <c r="BL56" s="1154"/>
    </row>
    <row r="57" spans="1:64" ht="15" customHeight="1">
      <c r="A57" s="2413"/>
      <c r="B57" s="2289"/>
      <c r="C57" s="2291" t="str">
        <f>"増員職員入力欄（常勤換算で"&amp;【様式１】総括表・個票!J127&amp;"人以上を配置すること）"</f>
        <v>増員職員入力欄（常勤換算で×人以上を配置すること）</v>
      </c>
      <c r="D57" s="2626" t="str">
        <f t="shared" si="51"/>
        <v/>
      </c>
      <c r="E57" s="2627"/>
      <c r="F57" s="2588"/>
      <c r="G57" s="2589"/>
      <c r="H57" s="2590"/>
      <c r="I57" s="1168" t="str">
        <f t="shared" si="62"/>
        <v/>
      </c>
      <c r="J57" s="1169" t="str">
        <f>IF(OR(F57=0,F57=""),"",IF(W57,IF(X57,IF(OR(Y57,V57=3),IF(AD57,IF(OR(AE57,V57=2,V57=3),"○","要常勤"),"時間無"),"重複"),"名簿無"),"対象外"))</f>
        <v/>
      </c>
      <c r="K57" s="1170" t="s">
        <v>874</v>
      </c>
      <c r="L57" s="1171" t="str">
        <f t="shared" si="53"/>
        <v/>
      </c>
      <c r="M57" s="1172">
        <f t="shared" si="54"/>
        <v>0</v>
      </c>
      <c r="N57" s="2481"/>
      <c r="O57" s="2229"/>
      <c r="P57" s="335"/>
      <c r="Q57" s="2225" t="b">
        <f>【様式１】総括表・個票!AI128</f>
        <v>0</v>
      </c>
      <c r="R57" s="2225" t="s">
        <v>873</v>
      </c>
      <c r="S57" s="2225" t="b">
        <f>(AND(ISNUMBER(D55),D55&lt;&gt;0,IF(D55=1,L153&gt;=0.5,IF(D55=2,L153&gt;=1.5,0)),$O$142&gt;=0))</f>
        <v>0</v>
      </c>
      <c r="T57" s="465" t="str">
        <f t="shared" si="49"/>
        <v>保育士</v>
      </c>
      <c r="U57" s="332">
        <f t="shared" ref="U57:U64" si="65">IFERROR(VLOOKUP($F57,$AS$8:$AV$111,4,FALSE),0)</f>
        <v>0</v>
      </c>
      <c r="V57" s="465">
        <v>2</v>
      </c>
      <c r="W57" s="465" t="b">
        <f>Q57</f>
        <v>0</v>
      </c>
      <c r="X57" s="463" t="b">
        <f t="shared" ref="X57:X61" ca="1" si="66">COUNTIF(INDIRECT(T57),F57)&gt;0</f>
        <v>0</v>
      </c>
      <c r="Y57" s="425" t="b">
        <f>COUNTIF($AC$25:AC52,AC57)+COUNTIF(AC58:$AC$124,AC57)-COUNTIF(Z57:AB57,AC57)=0</f>
        <v>0</v>
      </c>
      <c r="Z57" s="968" t="s">
        <v>874</v>
      </c>
      <c r="AA57" s="968" t="s">
        <v>874</v>
      </c>
      <c r="AB57" s="968" t="s">
        <v>874</v>
      </c>
      <c r="AC57" s="971">
        <f t="shared" ref="AC57:AC64" si="67">IF(V57=3,0,IFERROR(INDEX($AR$8:$AR$111,MATCH($F57,AS$8:AS$111,0),1),0))</f>
        <v>0</v>
      </c>
      <c r="AD57" s="431" t="b">
        <f t="shared" ref="AD57:AD61" si="68">U57&gt;0</f>
        <v>0</v>
      </c>
      <c r="AE57" s="430" t="b">
        <f t="shared" ref="AE57:AE64" si="69">IFERROR(VLOOKUP($F57,$AS$8:$AV$111,2,FALSE),"")="常勤"</f>
        <v>0</v>
      </c>
      <c r="AF57" s="465" t="s">
        <v>874</v>
      </c>
      <c r="AG57" s="465" t="s">
        <v>874</v>
      </c>
      <c r="AH57" s="465">
        <v>2</v>
      </c>
      <c r="AI57" s="431">
        <f t="shared" si="60"/>
        <v>2</v>
      </c>
      <c r="AJ57" s="336">
        <f t="shared" si="61"/>
        <v>0</v>
      </c>
      <c r="AM57" s="310"/>
      <c r="AO57" s="339"/>
      <c r="AP57" s="339"/>
      <c r="AQ57" s="333"/>
      <c r="AR57" s="312">
        <f t="shared" si="48"/>
        <v>50</v>
      </c>
      <c r="AS57" s="1049" t="str">
        <f>AR57&amp;" "&amp;IF(AU57&lt;&gt;"-",【様式2】職員名簿!B86&amp;"/"&amp;AT57&amp;"/"&amp;AU57,"")</f>
        <v xml:space="preserve">50 </v>
      </c>
      <c r="AT57" s="1049">
        <f>【様式2】職員名簿!E86</f>
        <v>0</v>
      </c>
      <c r="AU57" s="1049" t="str">
        <f>IF(【様式2】職員名簿!J86="エラー","-",【様式2】職員名簿!J86)</f>
        <v>-</v>
      </c>
      <c r="AV57" s="430">
        <f>IF($AT57="常勤",$AM$2,IF($AT57="非常勤",【様式2】職員名簿!G86,0))</f>
        <v>0</v>
      </c>
      <c r="AW57" s="330">
        <f>IF($AU57=AW$3,COUNTIF($AU$8:$AU57,AW$3),0)</f>
        <v>0</v>
      </c>
      <c r="AX57" s="331" t="str">
        <f t="shared" ref="AX57:AX88" si="70">IFERROR(INDEX($AS$8:$AS$111,MATCH($AR57,AW$8:AW$111,0),1),"")</f>
        <v/>
      </c>
      <c r="AY57" s="332">
        <f>IF($AU57=AY$3,COUNTIF($AU$8:$AU57,AY$3),0)</f>
        <v>0</v>
      </c>
      <c r="AZ57" s="331" t="str">
        <f t="shared" ref="AZ57:AZ88" si="71">IFERROR(INDEX($AS$8:$AS$111,MATCH($AR57,AY$8:AY$111,0),1),"")</f>
        <v/>
      </c>
      <c r="BA57" s="332">
        <f>IF($AU57=BA$3,COUNTIFS($AU$8:$AU57,BA$3,$AT$8:$AT57,BA$4),0)</f>
        <v>0</v>
      </c>
      <c r="BB57" s="331" t="str">
        <f t="shared" ref="BB57:BB88" si="72">IFERROR(INDEX($AS$8:$AS$111,MATCH($AR57,BA$8:BA$111,0),1),"")</f>
        <v/>
      </c>
      <c r="BC57" s="431">
        <f>IF($AU57=BC$3,COUNTIF($AU$8:$AU57,BC$3),0)</f>
        <v>0</v>
      </c>
      <c r="BD57" s="331" t="str">
        <f t="shared" ref="BD57:BD88" si="73">IFERROR(INDEX($AS$8:$AS$111,MATCH($AR57,BC$8:BC$111,0),1),"")</f>
        <v/>
      </c>
      <c r="BE57" s="312">
        <f>IF(OR($AU57=BE$3,$AU57=BE$4),COUNTIF($AU$8:$AU57,BE$3)+COUNTIF($AU$8:$AU57,BE$4),0)</f>
        <v>0</v>
      </c>
      <c r="BF57" s="331" t="str">
        <f t="shared" ref="BF57:BF88" si="74">IFERROR(INDEX($AS$8:$AS$111,MATCH($AR57,BE$8:BE$111,0),1),"")</f>
        <v/>
      </c>
      <c r="BG57" s="312">
        <f>IF($AU57=BG$3,COUNTIF($AU$8:$AU57,BG$3),0)</f>
        <v>0</v>
      </c>
      <c r="BH57" s="331" t="str">
        <f t="shared" ref="BH57:BH88" si="75">IFERROR(INDEX($AS$8:$AS$111,MATCH($AR57,BG$8:BG$111,0),1),"")</f>
        <v/>
      </c>
      <c r="BI57" s="312">
        <f>IF($AU57&lt;&gt;BI$3,COUNTIF($AU$8:$AU57,"&lt;&gt;"&amp;BI$3),0)</f>
        <v>0</v>
      </c>
      <c r="BJ57" s="331" t="str">
        <f t="shared" ref="BJ57:BJ88" si="76">IFERROR(INDEX($AS$8:$AS$111,MATCH($AR57,BI$8:BI$111,0),1),"")</f>
        <v/>
      </c>
      <c r="BK57" s="954"/>
      <c r="BL57" s="954"/>
    </row>
    <row r="58" spans="1:64" ht="15" customHeight="1">
      <c r="A58" s="2413"/>
      <c r="B58" s="2289"/>
      <c r="C58" s="2292"/>
      <c r="D58" s="2261" t="str">
        <f t="shared" si="51"/>
        <v/>
      </c>
      <c r="E58" s="2262"/>
      <c r="F58" s="2266"/>
      <c r="G58" s="2267"/>
      <c r="H58" s="2268"/>
      <c r="I58" s="837" t="str">
        <f t="shared" si="62"/>
        <v/>
      </c>
      <c r="J58" s="984" t="str">
        <f t="shared" si="52"/>
        <v/>
      </c>
      <c r="K58" s="801" t="s">
        <v>874</v>
      </c>
      <c r="L58" s="848" t="str">
        <f t="shared" si="53"/>
        <v/>
      </c>
      <c r="M58" s="576">
        <f t="shared" si="54"/>
        <v>0</v>
      </c>
      <c r="N58" s="2481"/>
      <c r="O58" s="2229"/>
      <c r="P58" s="335"/>
      <c r="Q58" s="2226"/>
      <c r="R58" s="2226"/>
      <c r="S58" s="2226"/>
      <c r="T58" s="465" t="str">
        <f t="shared" si="49"/>
        <v>保育士</v>
      </c>
      <c r="U58" s="332">
        <f t="shared" si="65"/>
        <v>0</v>
      </c>
      <c r="V58" s="465">
        <v>2</v>
      </c>
      <c r="W58" s="465" t="b">
        <f>Q57</f>
        <v>0</v>
      </c>
      <c r="X58" s="463" t="b">
        <f t="shared" ca="1" si="66"/>
        <v>0</v>
      </c>
      <c r="Y58" s="425" t="b">
        <f>COUNTIF($AC$25:AC57,AC58)+COUNTIF(AC59:$AC$124,AC58)-COUNTIF(Z58:AB58,AC58)=0</f>
        <v>0</v>
      </c>
      <c r="Z58" s="968" t="s">
        <v>874</v>
      </c>
      <c r="AA58" s="968" t="s">
        <v>874</v>
      </c>
      <c r="AB58" s="968" t="s">
        <v>874</v>
      </c>
      <c r="AC58" s="971">
        <f t="shared" si="67"/>
        <v>0</v>
      </c>
      <c r="AD58" s="431" t="b">
        <f t="shared" si="68"/>
        <v>0</v>
      </c>
      <c r="AE58" s="430" t="b">
        <f t="shared" si="69"/>
        <v>0</v>
      </c>
      <c r="AF58" s="465" t="s">
        <v>874</v>
      </c>
      <c r="AG58" s="465" t="s">
        <v>874</v>
      </c>
      <c r="AH58" s="465">
        <v>2</v>
      </c>
      <c r="AI58" s="431">
        <f t="shared" si="60"/>
        <v>2</v>
      </c>
      <c r="AJ58" s="336">
        <f t="shared" si="61"/>
        <v>0</v>
      </c>
      <c r="AM58" s="310"/>
      <c r="AO58" s="339"/>
      <c r="AP58" s="339"/>
      <c r="AQ58" s="338"/>
      <c r="AR58" s="312">
        <f t="shared" si="48"/>
        <v>51</v>
      </c>
      <c r="AS58" s="1049" t="str">
        <f>AR58&amp;" "&amp;IF(AU58&lt;&gt;"-",【様式2】職員名簿!B87&amp;"/"&amp;AT58&amp;"/"&amp;AU58,"")</f>
        <v xml:space="preserve">51 </v>
      </c>
      <c r="AT58" s="1049">
        <f>【様式2】職員名簿!E87</f>
        <v>0</v>
      </c>
      <c r="AU58" s="1049" t="str">
        <f>IF(【様式2】職員名簿!J87="エラー","-",【様式2】職員名簿!J87)</f>
        <v>-</v>
      </c>
      <c r="AV58" s="430">
        <f>IF($AT58="常勤",$AM$2,IF($AT58="非常勤",【様式2】職員名簿!G87,0))</f>
        <v>0</v>
      </c>
      <c r="AW58" s="330">
        <f>IF($AU58=AW$3,COUNTIF($AU$8:$AU58,AW$3),0)</f>
        <v>0</v>
      </c>
      <c r="AX58" s="331" t="str">
        <f t="shared" si="70"/>
        <v/>
      </c>
      <c r="AY58" s="332">
        <f>IF($AU58=AY$3,COUNTIF($AU$8:$AU58,AY$3),0)</f>
        <v>0</v>
      </c>
      <c r="AZ58" s="331" t="str">
        <f t="shared" si="71"/>
        <v/>
      </c>
      <c r="BA58" s="332">
        <f>IF($AU58=BA$3,COUNTIFS($AU$8:$AU58,BA$3,$AT$8:$AT58,BA$4),0)</f>
        <v>0</v>
      </c>
      <c r="BB58" s="331" t="str">
        <f t="shared" si="72"/>
        <v/>
      </c>
      <c r="BC58" s="431">
        <f>IF($AU58=BC$3,COUNTIF($AU$8:$AU58,BC$3),0)</f>
        <v>0</v>
      </c>
      <c r="BD58" s="331" t="str">
        <f t="shared" si="73"/>
        <v/>
      </c>
      <c r="BE58" s="312">
        <f>IF(OR($AU58=BE$3,$AU58=BE$4),COUNTIF($AU$8:$AU58,BE$3)+COUNTIF($AU$8:$AU58,BE$4),0)</f>
        <v>0</v>
      </c>
      <c r="BF58" s="331" t="str">
        <f t="shared" si="74"/>
        <v/>
      </c>
      <c r="BG58" s="312">
        <f>IF($AU58=BG$3,COUNTIF($AU$8:$AU58,BG$3),0)</f>
        <v>0</v>
      </c>
      <c r="BH58" s="331" t="str">
        <f t="shared" si="75"/>
        <v/>
      </c>
      <c r="BI58" s="312">
        <f>IF($AU58&lt;&gt;BI$3,COUNTIF($AU$8:$AU58,"&lt;&gt;"&amp;BI$3),0)</f>
        <v>0</v>
      </c>
      <c r="BJ58" s="331" t="str">
        <f t="shared" si="76"/>
        <v/>
      </c>
      <c r="BK58" s="954"/>
      <c r="BL58" s="954"/>
    </row>
    <row r="59" spans="1:64" ht="15" customHeight="1">
      <c r="A59" s="2413"/>
      <c r="B59" s="2289"/>
      <c r="C59" s="2292"/>
      <c r="D59" s="2261" t="str">
        <f t="shared" si="51"/>
        <v/>
      </c>
      <c r="E59" s="2262"/>
      <c r="F59" s="2266"/>
      <c r="G59" s="2267"/>
      <c r="H59" s="2268"/>
      <c r="I59" s="837" t="str">
        <f t="shared" si="62"/>
        <v/>
      </c>
      <c r="J59" s="984" t="str">
        <f t="shared" si="52"/>
        <v/>
      </c>
      <c r="K59" s="801" t="s">
        <v>874</v>
      </c>
      <c r="L59" s="848" t="str">
        <f t="shared" si="53"/>
        <v/>
      </c>
      <c r="M59" s="576">
        <f t="shared" si="54"/>
        <v>0</v>
      </c>
      <c r="N59" s="2481"/>
      <c r="O59" s="2229"/>
      <c r="P59" s="335"/>
      <c r="Q59" s="2226"/>
      <c r="R59" s="2226"/>
      <c r="S59" s="2226"/>
      <c r="T59" s="465" t="str">
        <f t="shared" si="49"/>
        <v>保育士</v>
      </c>
      <c r="U59" s="332">
        <f t="shared" si="65"/>
        <v>0</v>
      </c>
      <c r="V59" s="465">
        <v>2</v>
      </c>
      <c r="W59" s="465" t="b">
        <f>Q57</f>
        <v>0</v>
      </c>
      <c r="X59" s="463" t="b">
        <f t="shared" ca="1" si="66"/>
        <v>0</v>
      </c>
      <c r="Y59" s="425" t="b">
        <f>COUNTIF($AC$25:AC58,AC59)+COUNTIF(AC60:$AC$124,AC59)-COUNTIF(Z59:AB59,AC59)=0</f>
        <v>0</v>
      </c>
      <c r="Z59" s="968" t="s">
        <v>874</v>
      </c>
      <c r="AA59" s="968" t="s">
        <v>874</v>
      </c>
      <c r="AB59" s="968" t="s">
        <v>874</v>
      </c>
      <c r="AC59" s="971">
        <f t="shared" si="67"/>
        <v>0</v>
      </c>
      <c r="AD59" s="431" t="b">
        <f t="shared" si="68"/>
        <v>0</v>
      </c>
      <c r="AE59" s="430" t="b">
        <f t="shared" si="69"/>
        <v>0</v>
      </c>
      <c r="AF59" s="465" t="s">
        <v>874</v>
      </c>
      <c r="AG59" s="465" t="s">
        <v>874</v>
      </c>
      <c r="AH59" s="465">
        <v>2</v>
      </c>
      <c r="AI59" s="431">
        <f t="shared" si="60"/>
        <v>2</v>
      </c>
      <c r="AJ59" s="336">
        <f t="shared" si="61"/>
        <v>0</v>
      </c>
      <c r="AL59" s="310"/>
      <c r="AM59" s="310"/>
      <c r="AO59" s="339"/>
      <c r="AP59" s="339"/>
      <c r="AQ59" s="338"/>
      <c r="AR59" s="312">
        <f t="shared" si="48"/>
        <v>52</v>
      </c>
      <c r="AS59" s="1049" t="str">
        <f>AR59&amp;" "&amp;IF(AU59&lt;&gt;"-",【様式2】職員名簿!B88&amp;"/"&amp;AT59&amp;"/"&amp;AU59,"")</f>
        <v xml:space="preserve">52 </v>
      </c>
      <c r="AT59" s="1049">
        <f>【様式2】職員名簿!E88</f>
        <v>0</v>
      </c>
      <c r="AU59" s="1049" t="str">
        <f>IF(【様式2】職員名簿!J88="エラー","-",【様式2】職員名簿!J88)</f>
        <v>-</v>
      </c>
      <c r="AV59" s="430">
        <f>IF($AT59="常勤",$AM$2,IF($AT59="非常勤",【様式2】職員名簿!G88,0))</f>
        <v>0</v>
      </c>
      <c r="AW59" s="330">
        <f>IF($AU59=AW$3,COUNTIF($AU$8:$AU59,AW$3),0)</f>
        <v>0</v>
      </c>
      <c r="AX59" s="331" t="str">
        <f t="shared" si="70"/>
        <v/>
      </c>
      <c r="AY59" s="332">
        <f>IF($AU59=AY$3,COUNTIF($AU$8:$AU59,AY$3),0)</f>
        <v>0</v>
      </c>
      <c r="AZ59" s="331" t="str">
        <f t="shared" si="71"/>
        <v/>
      </c>
      <c r="BA59" s="332">
        <f>IF($AU59=BA$3,COUNTIFS($AU$8:$AU59,BA$3,$AT$8:$AT59,BA$4),0)</f>
        <v>0</v>
      </c>
      <c r="BB59" s="331" t="str">
        <f t="shared" si="72"/>
        <v/>
      </c>
      <c r="BC59" s="431">
        <f>IF($AU59=BC$3,COUNTIF($AU$8:$AU59,BC$3),0)</f>
        <v>0</v>
      </c>
      <c r="BD59" s="331" t="str">
        <f t="shared" si="73"/>
        <v/>
      </c>
      <c r="BE59" s="312">
        <f>IF(OR($AU59=BE$3,$AU59=BE$4),COUNTIF($AU$8:$AU59,BE$3)+COUNTIF($AU$8:$AU59,BE$4),0)</f>
        <v>0</v>
      </c>
      <c r="BF59" s="331" t="str">
        <f t="shared" si="74"/>
        <v/>
      </c>
      <c r="BG59" s="312">
        <f>IF($AU59=BG$3,COUNTIF($AU$8:$AU59,BG$3),0)</f>
        <v>0</v>
      </c>
      <c r="BH59" s="331" t="str">
        <f t="shared" si="75"/>
        <v/>
      </c>
      <c r="BI59" s="312">
        <f>IF($AU59&lt;&gt;BI$3,COUNTIF($AU$8:$AU59,"&lt;&gt;"&amp;BI$3),0)</f>
        <v>0</v>
      </c>
      <c r="BJ59" s="331" t="str">
        <f t="shared" si="76"/>
        <v/>
      </c>
      <c r="BK59" s="954"/>
      <c r="BL59" s="954"/>
    </row>
    <row r="60" spans="1:64" ht="15" customHeight="1">
      <c r="A60" s="2413"/>
      <c r="B60" s="2289"/>
      <c r="C60" s="2292"/>
      <c r="D60" s="2261" t="str">
        <f t="shared" si="51"/>
        <v/>
      </c>
      <c r="E60" s="2262"/>
      <c r="F60" s="2266"/>
      <c r="G60" s="2267"/>
      <c r="H60" s="2268"/>
      <c r="I60" s="837" t="str">
        <f t="shared" si="62"/>
        <v/>
      </c>
      <c r="J60" s="984" t="str">
        <f t="shared" si="52"/>
        <v/>
      </c>
      <c r="K60" s="801" t="s">
        <v>874</v>
      </c>
      <c r="L60" s="848" t="str">
        <f t="shared" si="53"/>
        <v/>
      </c>
      <c r="M60" s="576">
        <f t="shared" si="54"/>
        <v>0</v>
      </c>
      <c r="N60" s="2481"/>
      <c r="O60" s="2229"/>
      <c r="P60" s="335"/>
      <c r="Q60" s="2226"/>
      <c r="R60" s="2226"/>
      <c r="S60" s="2226"/>
      <c r="T60" s="465" t="str">
        <f t="shared" si="49"/>
        <v>保育士</v>
      </c>
      <c r="U60" s="332">
        <f t="shared" si="65"/>
        <v>0</v>
      </c>
      <c r="V60" s="465">
        <v>2</v>
      </c>
      <c r="W60" s="465" t="b">
        <f>Q57</f>
        <v>0</v>
      </c>
      <c r="X60" s="463" t="b">
        <f t="shared" ca="1" si="66"/>
        <v>0</v>
      </c>
      <c r="Y60" s="425" t="b">
        <f>COUNTIF($AC$25:AC59,AC60)+COUNTIF(AC61:$AC$124,AC60)-COUNTIF(Z60:AB60,AC60)=0</f>
        <v>0</v>
      </c>
      <c r="Z60" s="968" t="s">
        <v>874</v>
      </c>
      <c r="AA60" s="968" t="s">
        <v>874</v>
      </c>
      <c r="AB60" s="968" t="s">
        <v>874</v>
      </c>
      <c r="AC60" s="971">
        <f t="shared" si="67"/>
        <v>0</v>
      </c>
      <c r="AD60" s="431" t="b">
        <f t="shared" si="68"/>
        <v>0</v>
      </c>
      <c r="AE60" s="430" t="b">
        <f t="shared" si="69"/>
        <v>0</v>
      </c>
      <c r="AF60" s="465" t="s">
        <v>874</v>
      </c>
      <c r="AG60" s="465" t="s">
        <v>874</v>
      </c>
      <c r="AH60" s="465">
        <v>2</v>
      </c>
      <c r="AI60" s="431">
        <f t="shared" si="60"/>
        <v>2</v>
      </c>
      <c r="AJ60" s="336">
        <f t="shared" si="61"/>
        <v>0</v>
      </c>
      <c r="AL60" s="310"/>
      <c r="AM60" s="310"/>
      <c r="AO60" s="339"/>
      <c r="AP60" s="339"/>
      <c r="AQ60" s="338"/>
      <c r="AR60" s="312">
        <f t="shared" si="48"/>
        <v>53</v>
      </c>
      <c r="AS60" s="1049" t="str">
        <f>AR60&amp;" "&amp;IF(AU60&lt;&gt;"-",【様式2】職員名簿!B89&amp;"/"&amp;AT60&amp;"/"&amp;AU60,"")</f>
        <v xml:space="preserve">53 </v>
      </c>
      <c r="AT60" s="1049">
        <f>【様式2】職員名簿!E89</f>
        <v>0</v>
      </c>
      <c r="AU60" s="1049" t="str">
        <f>IF(【様式2】職員名簿!J89="エラー","-",【様式2】職員名簿!J89)</f>
        <v>-</v>
      </c>
      <c r="AV60" s="430">
        <f>IF($AT60="常勤",$AM$2,IF($AT60="非常勤",【様式2】職員名簿!G89,0))</f>
        <v>0</v>
      </c>
      <c r="AW60" s="330">
        <f>IF($AU60=AW$3,COUNTIF($AU$8:$AU60,AW$3),0)</f>
        <v>0</v>
      </c>
      <c r="AX60" s="331" t="str">
        <f t="shared" si="70"/>
        <v/>
      </c>
      <c r="AY60" s="332">
        <f>IF($AU60=AY$3,COUNTIF($AU$8:$AU60,AY$3),0)</f>
        <v>0</v>
      </c>
      <c r="AZ60" s="331" t="str">
        <f t="shared" si="71"/>
        <v/>
      </c>
      <c r="BA60" s="332">
        <f>IF($AU60=BA$3,COUNTIFS($AU$8:$AU60,BA$3,$AT$8:$AT60,BA$4),0)</f>
        <v>0</v>
      </c>
      <c r="BB60" s="331" t="str">
        <f t="shared" si="72"/>
        <v/>
      </c>
      <c r="BC60" s="431">
        <f>IF($AU60=BC$3,COUNTIF($AU$8:$AU60,BC$3),0)</f>
        <v>0</v>
      </c>
      <c r="BD60" s="331" t="str">
        <f t="shared" si="73"/>
        <v/>
      </c>
      <c r="BE60" s="312">
        <f>IF(OR($AU60=BE$3,$AU60=BE$4),COUNTIF($AU$8:$AU60,BE$3)+COUNTIF($AU$8:$AU60,BE$4),0)</f>
        <v>0</v>
      </c>
      <c r="BF60" s="331" t="str">
        <f t="shared" si="74"/>
        <v/>
      </c>
      <c r="BG60" s="312">
        <f>IF($AU60=BG$3,COUNTIF($AU$8:$AU60,BG$3),0)</f>
        <v>0</v>
      </c>
      <c r="BH60" s="331" t="str">
        <f t="shared" si="75"/>
        <v/>
      </c>
      <c r="BI60" s="312">
        <f>IF($AU60&lt;&gt;BI$3,COUNTIF($AU$8:$AU60,"&lt;&gt;"&amp;BI$3),0)</f>
        <v>0</v>
      </c>
      <c r="BJ60" s="331" t="str">
        <f t="shared" si="76"/>
        <v/>
      </c>
      <c r="BK60" s="954"/>
      <c r="BL60" s="954"/>
    </row>
    <row r="61" spans="1:64" ht="15" customHeight="1">
      <c r="A61" s="2413"/>
      <c r="B61" s="2290"/>
      <c r="C61" s="2293"/>
      <c r="D61" s="2274" t="str">
        <f t="shared" si="51"/>
        <v/>
      </c>
      <c r="E61" s="2275"/>
      <c r="F61" s="2263"/>
      <c r="G61" s="2264"/>
      <c r="H61" s="2265"/>
      <c r="I61" s="836" t="str">
        <f t="shared" si="62"/>
        <v/>
      </c>
      <c r="J61" s="530" t="str">
        <f t="shared" si="52"/>
        <v/>
      </c>
      <c r="K61" s="827" t="s">
        <v>874</v>
      </c>
      <c r="L61" s="855" t="str">
        <f t="shared" si="53"/>
        <v/>
      </c>
      <c r="M61" s="533">
        <f t="shared" si="54"/>
        <v>0</v>
      </c>
      <c r="N61" s="2482"/>
      <c r="O61" s="2230"/>
      <c r="P61" s="335"/>
      <c r="Q61" s="2227"/>
      <c r="R61" s="2227"/>
      <c r="S61" s="2227"/>
      <c r="T61" s="465" t="str">
        <f t="shared" si="49"/>
        <v>保育士</v>
      </c>
      <c r="U61" s="332">
        <f t="shared" si="65"/>
        <v>0</v>
      </c>
      <c r="V61" s="465">
        <v>2</v>
      </c>
      <c r="W61" s="465" t="b">
        <f>Q57</f>
        <v>0</v>
      </c>
      <c r="X61" s="463" t="b">
        <f t="shared" ca="1" si="66"/>
        <v>0</v>
      </c>
      <c r="Y61" s="425" t="b">
        <f>COUNTIF($AC$25:AC60,AC61)+COUNTIF(AC62:$AC$124,AC61)-COUNTIF(Z61:AB61,AC61)=0</f>
        <v>0</v>
      </c>
      <c r="Z61" s="968" t="s">
        <v>874</v>
      </c>
      <c r="AA61" s="968" t="s">
        <v>874</v>
      </c>
      <c r="AB61" s="968" t="s">
        <v>874</v>
      </c>
      <c r="AC61" s="971">
        <f t="shared" si="67"/>
        <v>0</v>
      </c>
      <c r="AD61" s="431" t="b">
        <f t="shared" si="68"/>
        <v>0</v>
      </c>
      <c r="AE61" s="430" t="b">
        <f t="shared" si="69"/>
        <v>0</v>
      </c>
      <c r="AF61" s="465" t="s">
        <v>874</v>
      </c>
      <c r="AG61" s="465" t="s">
        <v>874</v>
      </c>
      <c r="AH61" s="465">
        <v>2</v>
      </c>
      <c r="AI61" s="431">
        <f t="shared" si="60"/>
        <v>2</v>
      </c>
      <c r="AJ61" s="336">
        <f t="shared" si="61"/>
        <v>0</v>
      </c>
      <c r="AL61" s="310"/>
      <c r="AM61" s="310"/>
      <c r="AO61" s="338"/>
      <c r="AP61" s="338"/>
      <c r="AQ61" s="338"/>
      <c r="AR61" s="312">
        <f t="shared" si="48"/>
        <v>54</v>
      </c>
      <c r="AS61" s="1049" t="str">
        <f>AR61&amp;" "&amp;IF(AU61&lt;&gt;"-",【様式2】職員名簿!B90&amp;"/"&amp;AT61&amp;"/"&amp;AU61,"")</f>
        <v xml:space="preserve">54 </v>
      </c>
      <c r="AT61" s="1049">
        <f>【様式2】職員名簿!E90</f>
        <v>0</v>
      </c>
      <c r="AU61" s="1049" t="str">
        <f>IF(【様式2】職員名簿!J90="エラー","-",【様式2】職員名簿!J90)</f>
        <v>-</v>
      </c>
      <c r="AV61" s="430">
        <f>IF($AT61="常勤",$AM$2,IF($AT61="非常勤",【様式2】職員名簿!G90,0))</f>
        <v>0</v>
      </c>
      <c r="AW61" s="330">
        <f>IF($AU61=AW$3,COUNTIF($AU$8:$AU61,AW$3),0)</f>
        <v>0</v>
      </c>
      <c r="AX61" s="331" t="str">
        <f t="shared" si="70"/>
        <v/>
      </c>
      <c r="AY61" s="332">
        <f>IF($AU61=AY$3,COUNTIF($AU$8:$AU61,AY$3),0)</f>
        <v>0</v>
      </c>
      <c r="AZ61" s="331" t="str">
        <f t="shared" si="71"/>
        <v/>
      </c>
      <c r="BA61" s="332">
        <f>IF($AU61=BA$3,COUNTIFS($AU$8:$AU61,BA$3,$AT$8:$AT61,BA$4),0)</f>
        <v>0</v>
      </c>
      <c r="BB61" s="331" t="str">
        <f t="shared" si="72"/>
        <v/>
      </c>
      <c r="BC61" s="431">
        <f>IF($AU61=BC$3,COUNTIF($AU$8:$AU61,BC$3),0)</f>
        <v>0</v>
      </c>
      <c r="BD61" s="331" t="str">
        <f t="shared" si="73"/>
        <v/>
      </c>
      <c r="BE61" s="312">
        <f>IF(OR($AU61=BE$3,$AU61=BE$4),COUNTIF($AU$8:$AU61,BE$3)+COUNTIF($AU$8:$AU61,BE$4),0)</f>
        <v>0</v>
      </c>
      <c r="BF61" s="331" t="str">
        <f t="shared" si="74"/>
        <v/>
      </c>
      <c r="BG61" s="312">
        <f>IF($AU61=BG$3,COUNTIF($AU$8:$AU61,BG$3),0)</f>
        <v>0</v>
      </c>
      <c r="BH61" s="331" t="str">
        <f t="shared" si="75"/>
        <v/>
      </c>
      <c r="BI61" s="312">
        <f>IF($AU61&lt;&gt;BI$3,COUNTIF($AU$8:$AU61,"&lt;&gt;"&amp;BI$3),0)</f>
        <v>0</v>
      </c>
      <c r="BJ61" s="331" t="str">
        <f t="shared" si="76"/>
        <v/>
      </c>
      <c r="BK61" s="954"/>
      <c r="BL61" s="954"/>
    </row>
    <row r="62" spans="1:64" ht="15" customHeight="1">
      <c r="A62" s="2413"/>
      <c r="B62" s="2254" t="s">
        <v>940</v>
      </c>
      <c r="C62" s="568" t="s">
        <v>972</v>
      </c>
      <c r="D62" s="2302" t="str">
        <f>IF(W62,T62,"")</f>
        <v/>
      </c>
      <c r="E62" s="2303"/>
      <c r="F62" s="2483"/>
      <c r="G62" s="2484"/>
      <c r="H62" s="2485"/>
      <c r="I62" s="839" t="str">
        <f t="shared" si="62"/>
        <v/>
      </c>
      <c r="J62" s="977" t="str">
        <f>IF(OR(F62=0,F62=""),"",IF(W62,IF(X62,IF(OR(Y62,V62=3),IF(AD62,IF(OR(AE62,V62=2,V62=3),"○","要常勤"),"時間無"),"重複"),"名簿無"),"対象外"))</f>
        <v/>
      </c>
      <c r="K62" s="799" t="s">
        <v>916</v>
      </c>
      <c r="L62" s="853" t="str">
        <f t="shared" si="53"/>
        <v/>
      </c>
      <c r="M62" s="854">
        <f t="shared" si="54"/>
        <v>0</v>
      </c>
      <c r="N62" s="2480" t="str">
        <f>IF(Q62,"○","×")</f>
        <v>×</v>
      </c>
      <c r="O62" s="2583" t="str">
        <f>IF(Q62,IF(S62,"○","×"),"-")</f>
        <v>-</v>
      </c>
      <c r="P62" s="335"/>
      <c r="Q62" s="2225" t="b">
        <f>【様式１】総括表・個票!AI223</f>
        <v>0</v>
      </c>
      <c r="R62" s="2225" t="s">
        <v>916</v>
      </c>
      <c r="S62" s="2225" t="b">
        <f>AND($J62="○",$J63="○",$O$142&gt;=0)</f>
        <v>0</v>
      </c>
      <c r="T62" s="465" t="str">
        <f>BB6</f>
        <v>常勤保育士</v>
      </c>
      <c r="U62" s="332">
        <f t="shared" si="65"/>
        <v>0</v>
      </c>
      <c r="V62" s="465">
        <v>1</v>
      </c>
      <c r="W62" s="465" t="b">
        <f>Q62</f>
        <v>0</v>
      </c>
      <c r="X62" s="463" t="b">
        <f ca="1">COUNTIF(INDIRECT(T62),F62)&gt;0</f>
        <v>0</v>
      </c>
      <c r="Y62" s="425" t="b">
        <f>COUNTIF($AC$25:AC61,AC62)+COUNTIF(AC63:$AC$124,AC62)-COUNTIF(Z62:AB62,AC62)=0</f>
        <v>0</v>
      </c>
      <c r="Z62" s="968" t="s">
        <v>873</v>
      </c>
      <c r="AA62" s="968" t="s">
        <v>874</v>
      </c>
      <c r="AB62" s="968" t="s">
        <v>874</v>
      </c>
      <c r="AC62" s="971">
        <f t="shared" si="67"/>
        <v>0</v>
      </c>
      <c r="AD62" s="431" t="b">
        <f t="shared" si="13"/>
        <v>0</v>
      </c>
      <c r="AE62" s="430" t="b">
        <f t="shared" si="69"/>
        <v>0</v>
      </c>
      <c r="AF62" s="465" t="s">
        <v>874</v>
      </c>
      <c r="AG62" s="465" t="s">
        <v>874</v>
      </c>
      <c r="AH62" s="465">
        <v>1</v>
      </c>
      <c r="AI62" s="431">
        <f t="shared" si="60"/>
        <v>2</v>
      </c>
      <c r="AJ62" s="336">
        <f t="shared" si="61"/>
        <v>0</v>
      </c>
      <c r="AL62" s="310"/>
      <c r="AM62" s="310"/>
      <c r="AO62" s="338"/>
      <c r="AP62" s="338"/>
      <c r="AQ62" s="338"/>
      <c r="AR62" s="312">
        <f t="shared" si="48"/>
        <v>55</v>
      </c>
      <c r="AS62" s="1049" t="str">
        <f>AR62&amp;" "&amp;IF(AU62&lt;&gt;"-",【様式2】職員名簿!B91&amp;"/"&amp;AT62&amp;"/"&amp;AU62,"")</f>
        <v xml:space="preserve">55 </v>
      </c>
      <c r="AT62" s="1049">
        <f>【様式2】職員名簿!E91</f>
        <v>0</v>
      </c>
      <c r="AU62" s="1049" t="str">
        <f>IF(【様式2】職員名簿!J91="エラー","-",【様式2】職員名簿!J91)</f>
        <v>-</v>
      </c>
      <c r="AV62" s="430">
        <f>IF($AT62="常勤",$AM$2,IF($AT62="非常勤",【様式2】職員名簿!G91,0))</f>
        <v>0</v>
      </c>
      <c r="AW62" s="330">
        <f>IF($AU62=AW$3,COUNTIF($AU$8:$AU62,AW$3),0)</f>
        <v>0</v>
      </c>
      <c r="AX62" s="331" t="str">
        <f t="shared" si="70"/>
        <v/>
      </c>
      <c r="AY62" s="332">
        <f>IF($AU62=AY$3,COUNTIF($AU$8:$AU62,AY$3),0)</f>
        <v>0</v>
      </c>
      <c r="AZ62" s="331" t="str">
        <f t="shared" si="71"/>
        <v/>
      </c>
      <c r="BA62" s="332">
        <f>IF($AU62=BA$3,COUNTIFS($AU$8:$AU62,BA$3,$AT$8:$AT62,BA$4),0)</f>
        <v>0</v>
      </c>
      <c r="BB62" s="331" t="str">
        <f t="shared" si="72"/>
        <v/>
      </c>
      <c r="BC62" s="431">
        <f>IF($AU62=BC$3,COUNTIF($AU$8:$AU62,BC$3),0)</f>
        <v>0</v>
      </c>
      <c r="BD62" s="331" t="str">
        <f t="shared" si="73"/>
        <v/>
      </c>
      <c r="BE62" s="312">
        <f>IF(OR($AU62=BE$3,$AU62=BE$4),COUNTIF($AU$8:$AU62,BE$3)+COUNTIF($AU$8:$AU62,BE$4),0)</f>
        <v>0</v>
      </c>
      <c r="BF62" s="331" t="str">
        <f t="shared" si="74"/>
        <v/>
      </c>
      <c r="BG62" s="312">
        <f>IF($AU62=BG$3,COUNTIF($AU$8:$AU62,BG$3),0)</f>
        <v>0</v>
      </c>
      <c r="BH62" s="331" t="str">
        <f t="shared" si="75"/>
        <v/>
      </c>
      <c r="BI62" s="312">
        <f>IF($AU62&lt;&gt;BI$3,COUNTIF($AU$8:$AU62,"&lt;&gt;"&amp;BI$3),0)</f>
        <v>0</v>
      </c>
      <c r="BJ62" s="331" t="str">
        <f t="shared" si="76"/>
        <v/>
      </c>
      <c r="BK62" s="954"/>
      <c r="BL62" s="954"/>
    </row>
    <row r="63" spans="1:64" ht="15" customHeight="1">
      <c r="A63" s="2414"/>
      <c r="B63" s="2486"/>
      <c r="C63" s="728" t="s">
        <v>973</v>
      </c>
      <c r="D63" s="2320" t="str">
        <f t="shared" si="51"/>
        <v/>
      </c>
      <c r="E63" s="2321"/>
      <c r="F63" s="2401"/>
      <c r="G63" s="2402"/>
      <c r="H63" s="2322"/>
      <c r="I63" s="835" t="str">
        <f t="shared" si="62"/>
        <v/>
      </c>
      <c r="J63" s="529" t="str">
        <f>IF(OR(F63=0,F63=""),"",IF(W63,IF(X63,IF(OR(Y63,V63=3),IF(AD63,IF(OR(AE63,V63=2,V63=3),"○","要常勤"),"時間無"),"重複"),"名簿無"),"対象外"))</f>
        <v/>
      </c>
      <c r="K63" s="830" t="s">
        <v>916</v>
      </c>
      <c r="L63" s="852" t="str">
        <f t="shared" si="53"/>
        <v/>
      </c>
      <c r="M63" s="532">
        <f t="shared" si="54"/>
        <v>0</v>
      </c>
      <c r="N63" s="2481"/>
      <c r="O63" s="2584" t="str">
        <f t="shared" ref="O63" si="77">IF(Q63,IF(S63,"○","×"),"-")</f>
        <v>-</v>
      </c>
      <c r="P63" s="335"/>
      <c r="Q63" s="2227"/>
      <c r="R63" s="2227"/>
      <c r="S63" s="2227"/>
      <c r="T63" s="465" t="str">
        <f>BB6</f>
        <v>常勤保育士</v>
      </c>
      <c r="U63" s="332">
        <f t="shared" si="65"/>
        <v>0</v>
      </c>
      <c r="V63" s="465">
        <v>1</v>
      </c>
      <c r="W63" s="465" t="b">
        <f>Q62</f>
        <v>0</v>
      </c>
      <c r="X63" s="463" t="b">
        <f ca="1">COUNTIF(INDIRECT(T63),F63)&gt;0</f>
        <v>0</v>
      </c>
      <c r="Y63" s="425" t="b">
        <f>COUNTIF($AC$25:AC62,AC63)+COUNTIF(AC64:$AC$124,AC63)-COUNTIF(Z63:AB63,AC63)=0</f>
        <v>0</v>
      </c>
      <c r="Z63" s="968" t="s">
        <v>874</v>
      </c>
      <c r="AA63" s="968" t="s">
        <v>874</v>
      </c>
      <c r="AB63" s="968" t="s">
        <v>874</v>
      </c>
      <c r="AC63" s="971">
        <f t="shared" si="67"/>
        <v>0</v>
      </c>
      <c r="AD63" s="431" t="b">
        <f t="shared" si="13"/>
        <v>0</v>
      </c>
      <c r="AE63" s="430" t="b">
        <f t="shared" si="69"/>
        <v>0</v>
      </c>
      <c r="AF63" s="465" t="s">
        <v>874</v>
      </c>
      <c r="AG63" s="465" t="s">
        <v>874</v>
      </c>
      <c r="AH63" s="465">
        <v>1</v>
      </c>
      <c r="AI63" s="431">
        <f t="shared" si="60"/>
        <v>2</v>
      </c>
      <c r="AJ63" s="336">
        <f t="shared" si="61"/>
        <v>0</v>
      </c>
      <c r="AL63" s="310"/>
      <c r="AO63" s="338"/>
      <c r="AP63" s="338"/>
      <c r="AQ63" s="338"/>
      <c r="AR63" s="312">
        <f t="shared" si="48"/>
        <v>56</v>
      </c>
      <c r="AS63" s="1049" t="str">
        <f>AR63&amp;" "&amp;IF(AU63&lt;&gt;"-",【様式2】職員名簿!B92&amp;"/"&amp;AT63&amp;"/"&amp;AU63,"")</f>
        <v xml:space="preserve">56 </v>
      </c>
      <c r="AT63" s="1049">
        <f>【様式2】職員名簿!E92</f>
        <v>0</v>
      </c>
      <c r="AU63" s="1049" t="str">
        <f>IF(【様式2】職員名簿!J92="エラー","-",【様式2】職員名簿!J92)</f>
        <v>-</v>
      </c>
      <c r="AV63" s="430">
        <f>IF($AT63="常勤",$AM$2,IF($AT63="非常勤",【様式2】職員名簿!G92,0))</f>
        <v>0</v>
      </c>
      <c r="AW63" s="330">
        <f>IF($AU63=AW$3,COUNTIF($AU$8:$AU63,AW$3),0)</f>
        <v>0</v>
      </c>
      <c r="AX63" s="331" t="str">
        <f t="shared" si="70"/>
        <v/>
      </c>
      <c r="AY63" s="332">
        <f>IF($AU63=AY$3,COUNTIF($AU$8:$AU63,AY$3),0)</f>
        <v>0</v>
      </c>
      <c r="AZ63" s="331" t="str">
        <f t="shared" si="71"/>
        <v/>
      </c>
      <c r="BA63" s="332">
        <f>IF($AU63=BA$3,COUNTIFS($AU$8:$AU63,BA$3,$AT$8:$AT63,BA$4),0)</f>
        <v>0</v>
      </c>
      <c r="BB63" s="331" t="str">
        <f t="shared" si="72"/>
        <v/>
      </c>
      <c r="BC63" s="431">
        <f>IF($AU63=BC$3,COUNTIF($AU$8:$AU63,BC$3),0)</f>
        <v>0</v>
      </c>
      <c r="BD63" s="331" t="str">
        <f t="shared" si="73"/>
        <v/>
      </c>
      <c r="BE63" s="312">
        <f>IF(OR($AU63=BE$3,$AU63=BE$4),COUNTIF($AU$8:$AU63,BE$3)+COUNTIF($AU$8:$AU63,BE$4),0)</f>
        <v>0</v>
      </c>
      <c r="BF63" s="331" t="str">
        <f t="shared" si="74"/>
        <v/>
      </c>
      <c r="BG63" s="312">
        <f>IF($AU63=BG$3,COUNTIF($AU$8:$AU63,BG$3),0)</f>
        <v>0</v>
      </c>
      <c r="BH63" s="331" t="str">
        <f t="shared" si="75"/>
        <v/>
      </c>
      <c r="BI63" s="312">
        <f>IF($AU63&lt;&gt;BI$3,COUNTIF($AU$8:$AU63,"&lt;&gt;"&amp;BI$3),0)</f>
        <v>0</v>
      </c>
      <c r="BJ63" s="331" t="str">
        <f t="shared" si="76"/>
        <v/>
      </c>
      <c r="BK63" s="954"/>
      <c r="BL63" s="954"/>
    </row>
    <row r="64" spans="1:64" ht="15" customHeight="1">
      <c r="A64" s="961" t="s">
        <v>5</v>
      </c>
      <c r="B64" s="1711" t="str">
        <f>"栄養管理加算【"&amp;IF(R64=1,"配置",IF(R64=2,"兼務",IF(R64=3,"嘱託","-")))&amp;"】"</f>
        <v>栄養管理加算【-】</v>
      </c>
      <c r="C64" s="1712"/>
      <c r="D64" s="1710" t="str">
        <f t="shared" ref="D64:D65" si="78">IF(W64,T64,"")</f>
        <v/>
      </c>
      <c r="E64" s="2306"/>
      <c r="F64" s="2417"/>
      <c r="G64" s="2418"/>
      <c r="H64" s="2419"/>
      <c r="I64" s="840" t="str">
        <f t="shared" si="62"/>
        <v/>
      </c>
      <c r="J64" s="949" t="str">
        <f t="shared" ref="J64:J73" si="79">IF(OR(F64=0,F64=""),"",IF(W64,IF(X64,IF(OR(Y64,V64=3),IF(AD64,IF(OR(AE64,V64=2,V64=3),"○","要常勤"),"時間無"),"重複"),"名簿無"),"対象外"))</f>
        <v/>
      </c>
      <c r="K64" s="802" t="s">
        <v>916</v>
      </c>
      <c r="L64" s="857" t="str">
        <f t="shared" si="53"/>
        <v/>
      </c>
      <c r="M64" s="858">
        <f t="shared" si="54"/>
        <v>0</v>
      </c>
      <c r="N64" s="538" t="str">
        <f>IF(Q64,"○","×")</f>
        <v>×</v>
      </c>
      <c r="O64" s="825" t="str">
        <f>IF(Q64,IF(S64,"○","×"),"-")</f>
        <v>-</v>
      </c>
      <c r="P64" s="322"/>
      <c r="Q64" s="967" t="b">
        <f>AND(【様式１】総括表・個票!AI297,OR(R64=1,R64=2))</f>
        <v>0</v>
      </c>
      <c r="R64" s="471">
        <f>IF(【様式１】総括表・個票!AI302,1,IF(【様式１】総括表・個票!AI303,2,IF(【様式１】総括表・個票!AI305,3,0)))</f>
        <v>0</v>
      </c>
      <c r="S64" s="471" t="b">
        <f>AND($J64="○",$O155&gt;=0)</f>
        <v>0</v>
      </c>
      <c r="T64" s="967" t="str">
        <f>$BD$6</f>
        <v>栄養士</v>
      </c>
      <c r="U64" s="427">
        <f t="shared" si="65"/>
        <v>0</v>
      </c>
      <c r="V64" s="1061">
        <f>IF(R64=2,3,2)</f>
        <v>2</v>
      </c>
      <c r="W64" s="967" t="b">
        <f>AND(Q64,OR(R64=1,R64=2))</f>
        <v>0</v>
      </c>
      <c r="X64" s="463" t="b">
        <f t="shared" ref="X64:X73" ca="1" si="80">COUNTIF(INDIRECT(T64),F64)&gt;0</f>
        <v>0</v>
      </c>
      <c r="Y64" s="425" t="b">
        <f>COUNTIF($AC$25:AC63,AC64)+COUNTIF(AC65:$AC$124,AC64)-COUNTIF(Z64:AB64,AC64)=0</f>
        <v>0</v>
      </c>
      <c r="Z64" s="968" t="s">
        <v>874</v>
      </c>
      <c r="AA64" s="968" t="s">
        <v>874</v>
      </c>
      <c r="AB64" s="968" t="s">
        <v>874</v>
      </c>
      <c r="AC64" s="971">
        <f t="shared" si="67"/>
        <v>0</v>
      </c>
      <c r="AD64" s="406" t="b">
        <f t="shared" si="13"/>
        <v>0</v>
      </c>
      <c r="AE64" s="405" t="b">
        <f t="shared" si="69"/>
        <v>0</v>
      </c>
      <c r="AF64" s="967" t="s">
        <v>874</v>
      </c>
      <c r="AG64" s="967" t="s">
        <v>874</v>
      </c>
      <c r="AH64" s="465">
        <v>2</v>
      </c>
      <c r="AI64" s="431">
        <f t="shared" si="60"/>
        <v>2</v>
      </c>
      <c r="AJ64" s="336">
        <f t="shared" si="61"/>
        <v>0</v>
      </c>
      <c r="AL64" s="310"/>
      <c r="AP64" s="338"/>
      <c r="AQ64" s="338"/>
      <c r="AR64" s="312">
        <f t="shared" si="48"/>
        <v>57</v>
      </c>
      <c r="AS64" s="1049" t="str">
        <f>AR64&amp;" "&amp;IF(AU64&lt;&gt;"-",【様式2】職員名簿!B93&amp;"/"&amp;AT64&amp;"/"&amp;AU64,"")</f>
        <v xml:space="preserve">57 </v>
      </c>
      <c r="AT64" s="1049">
        <f>【様式2】職員名簿!E93</f>
        <v>0</v>
      </c>
      <c r="AU64" s="1049" t="str">
        <f>IF(【様式2】職員名簿!J93="エラー","-",【様式2】職員名簿!J93)</f>
        <v>-</v>
      </c>
      <c r="AV64" s="430">
        <f>IF($AT64="常勤",$AM$2,IF($AT64="非常勤",【様式2】職員名簿!G93,0))</f>
        <v>0</v>
      </c>
      <c r="AW64" s="330">
        <f>IF($AU64=AW$3,COUNTIF($AU$8:$AU64,AW$3),0)</f>
        <v>0</v>
      </c>
      <c r="AX64" s="331" t="str">
        <f t="shared" si="70"/>
        <v/>
      </c>
      <c r="AY64" s="332">
        <f>IF($AU64=AY$3,COUNTIF($AU$8:$AU64,AY$3),0)</f>
        <v>0</v>
      </c>
      <c r="AZ64" s="331" t="str">
        <f t="shared" si="71"/>
        <v/>
      </c>
      <c r="BA64" s="332">
        <f>IF($AU64=BA$3,COUNTIFS($AU$8:$AU64,BA$3,$AT$8:$AT64,BA$4),0)</f>
        <v>0</v>
      </c>
      <c r="BB64" s="331" t="str">
        <f t="shared" si="72"/>
        <v/>
      </c>
      <c r="BC64" s="431">
        <f>IF($AU64=BC$3,COUNTIF($AU$8:$AU64,BC$3),0)</f>
        <v>0</v>
      </c>
      <c r="BD64" s="331" t="str">
        <f t="shared" si="73"/>
        <v/>
      </c>
      <c r="BE64" s="312">
        <f>IF(OR($AU64=BE$3,$AU64=BE$4),COUNTIF($AU$8:$AU64,BE$3)+COUNTIF($AU$8:$AU64,BE$4),0)</f>
        <v>0</v>
      </c>
      <c r="BF64" s="331" t="str">
        <f t="shared" si="74"/>
        <v/>
      </c>
      <c r="BG64" s="312">
        <f>IF($AU64=BG$3,COUNTIF($AU$8:$AU64,BG$3),0)</f>
        <v>0</v>
      </c>
      <c r="BH64" s="331" t="str">
        <f t="shared" si="75"/>
        <v/>
      </c>
      <c r="BI64" s="312">
        <f>IF($AU64&lt;&gt;BI$3,COUNTIF($AU$8:$AU64,"&lt;&gt;"&amp;BI$3),0)</f>
        <v>0</v>
      </c>
      <c r="BJ64" s="331" t="str">
        <f t="shared" si="76"/>
        <v/>
      </c>
      <c r="BK64" s="954"/>
      <c r="BL64" s="954"/>
    </row>
    <row r="65" spans="1:64" ht="15" customHeight="1">
      <c r="A65" s="2420" t="s">
        <v>761</v>
      </c>
      <c r="B65" s="1711" t="s">
        <v>1139</v>
      </c>
      <c r="C65" s="1712"/>
      <c r="D65" s="1710" t="str">
        <f t="shared" si="78"/>
        <v/>
      </c>
      <c r="E65" s="2306"/>
      <c r="F65" s="2623" t="str">
        <f>IF(Q65,IF(R65=1,"非常勤１名",IF(R65=2,"兼務１名",IF(R65=3,"業務委託",""))),"")</f>
        <v/>
      </c>
      <c r="G65" s="2624"/>
      <c r="H65" s="2624"/>
      <c r="I65" s="2624"/>
      <c r="J65" s="2624"/>
      <c r="K65" s="2625"/>
      <c r="L65" s="857" t="s">
        <v>873</v>
      </c>
      <c r="M65" s="858" t="s">
        <v>873</v>
      </c>
      <c r="N65" s="538" t="str">
        <f>IF(Q65,"○","×")</f>
        <v>×</v>
      </c>
      <c r="O65" s="2634" t="str">
        <f t="shared" ref="O65:O67" si="81">IF(Q65,IF(S65,"○","×"),"-")</f>
        <v>-</v>
      </c>
      <c r="P65" s="322"/>
      <c r="Q65" s="729" t="b">
        <f>【様式１】総括表・個票!AI262</f>
        <v>0</v>
      </c>
      <c r="R65" s="465">
        <f>IF(【様式１】総括表・個票!AI265,1,IF(【様式１】総括表・個票!AI266,2,IF(【様式１】総括表・個票!AI267,3,0)))</f>
        <v>0</v>
      </c>
      <c r="S65" s="470" t="b">
        <f>AND($O$157&gt;=0,IF(Q66,S66,TRUE),IF(Q67,S67,TRUE),O35="○")</f>
        <v>0</v>
      </c>
      <c r="T65" s="465" t="str">
        <f>$BH$6</f>
        <v>事務員</v>
      </c>
      <c r="U65" s="788" t="s">
        <v>1014</v>
      </c>
      <c r="V65" s="465" t="s">
        <v>1012</v>
      </c>
      <c r="W65" s="465" t="b">
        <f>Q65</f>
        <v>0</v>
      </c>
      <c r="X65" s="463" t="s">
        <v>1012</v>
      </c>
      <c r="Y65" s="425" t="s">
        <v>1012</v>
      </c>
      <c r="Z65" s="968" t="s">
        <v>874</v>
      </c>
      <c r="AA65" s="968" t="s">
        <v>874</v>
      </c>
      <c r="AB65" s="968" t="s">
        <v>874</v>
      </c>
      <c r="AC65" s="971" t="s">
        <v>874</v>
      </c>
      <c r="AD65" s="468" t="s">
        <v>874</v>
      </c>
      <c r="AE65" s="469" t="s">
        <v>874</v>
      </c>
      <c r="AF65" s="465" t="s">
        <v>874</v>
      </c>
      <c r="AG65" s="465" t="s">
        <v>874</v>
      </c>
      <c r="AH65" s="465" t="s">
        <v>874</v>
      </c>
      <c r="AI65" s="431" t="s">
        <v>874</v>
      </c>
      <c r="AJ65" s="336" t="s">
        <v>874</v>
      </c>
      <c r="AL65" s="310"/>
      <c r="AP65" s="338"/>
      <c r="AQ65" s="338"/>
      <c r="AR65" s="312">
        <f t="shared" si="48"/>
        <v>58</v>
      </c>
      <c r="AS65" s="1049" t="str">
        <f>AR65&amp;" "&amp;IF(AU65&lt;&gt;"-",【様式2】職員名簿!B94&amp;"/"&amp;AT65&amp;"/"&amp;AU65,"")</f>
        <v xml:space="preserve">58 </v>
      </c>
      <c r="AT65" s="1049">
        <f>【様式2】職員名簿!E94</f>
        <v>0</v>
      </c>
      <c r="AU65" s="1049" t="str">
        <f>IF(【様式2】職員名簿!J94="エラー","-",【様式2】職員名簿!J94)</f>
        <v>-</v>
      </c>
      <c r="AV65" s="430">
        <f>IF($AT65="常勤",$AM$2,IF($AT65="非常勤",【様式2】職員名簿!G94,0))</f>
        <v>0</v>
      </c>
      <c r="AW65" s="330">
        <f>IF($AU65=AW$3,COUNTIF($AU$8:$AU65,AW$3),0)</f>
        <v>0</v>
      </c>
      <c r="AX65" s="331" t="str">
        <f t="shared" si="70"/>
        <v/>
      </c>
      <c r="AY65" s="332">
        <f>IF($AU65=AY$3,COUNTIF($AU$8:$AU65,AY$3),0)</f>
        <v>0</v>
      </c>
      <c r="AZ65" s="331" t="str">
        <f t="shared" si="71"/>
        <v/>
      </c>
      <c r="BA65" s="332">
        <f>IF($AU65=BA$3,COUNTIFS($AU$8:$AU65,BA$3,$AT$8:$AT65,BA$4),0)</f>
        <v>0</v>
      </c>
      <c r="BB65" s="331" t="str">
        <f t="shared" si="72"/>
        <v/>
      </c>
      <c r="BC65" s="431">
        <f>IF($AU65=BC$3,COUNTIF($AU$8:$AU65,BC$3),0)</f>
        <v>0</v>
      </c>
      <c r="BD65" s="331" t="str">
        <f t="shared" si="73"/>
        <v/>
      </c>
      <c r="BE65" s="312">
        <f>IF(OR($AU65=BE$3,$AU65=BE$4),COUNTIF($AU$8:$AU65,BE$3)+COUNTIF($AU$8:$AU65,BE$4),0)</f>
        <v>0</v>
      </c>
      <c r="BF65" s="331" t="str">
        <f t="shared" si="74"/>
        <v/>
      </c>
      <c r="BG65" s="312">
        <f>IF($AU65=BG$3,COUNTIF($AU$8:$AU65,BG$3),0)</f>
        <v>0</v>
      </c>
      <c r="BH65" s="331" t="str">
        <f t="shared" si="75"/>
        <v/>
      </c>
      <c r="BI65" s="312">
        <f>IF($AU65&lt;&gt;BI$3,COUNTIF($AU$8:$AU65,"&lt;&gt;"&amp;BI$3),0)</f>
        <v>0</v>
      </c>
      <c r="BJ65" s="331" t="str">
        <f t="shared" si="76"/>
        <v/>
      </c>
      <c r="BK65" s="954"/>
      <c r="BL65" s="954"/>
    </row>
    <row r="66" spans="1:64" ht="15" customHeight="1">
      <c r="A66" s="2413"/>
      <c r="B66" s="2250"/>
      <c r="C66" s="2251"/>
      <c r="D66" s="2279" t="str">
        <f>IF(R65=1,"専任",IF(R65=2,"兼務",IF(R65=3,"委託","-")))</f>
        <v>-</v>
      </c>
      <c r="E66" s="789" t="str">
        <f>IF(W66,T66,"")</f>
        <v/>
      </c>
      <c r="F66" s="2268"/>
      <c r="G66" s="2278"/>
      <c r="H66" s="2278"/>
      <c r="I66" s="837" t="str">
        <f>IF(OR(NOT(W66),U66=0),"",U66)</f>
        <v/>
      </c>
      <c r="J66" s="984" t="str">
        <f t="shared" ref="J66" si="82">IF(OR(F66=0,F66=""),"",IF(W66,IF(X66,IF(OR(Y66,V66=3),IF(AD66,IF(OR(AE66,V66=2,V66=3),"○","要常勤"),"時間無"),"重複"),"名簿無"),"対象外"))</f>
        <v/>
      </c>
      <c r="K66" s="801" t="s">
        <v>874</v>
      </c>
      <c r="L66" s="859" t="str">
        <f t="shared" ref="L66" si="83">IF(AI66=1,"調整①→",IF(AI66=5,"調整②→",IF(AI66=2,"",IF(AI66=3,"全計上→","エラー"))))</f>
        <v/>
      </c>
      <c r="M66" s="576">
        <f t="shared" ref="M66:M73" si="84">IF(OR(AND(J66&lt;&gt;"",J66&lt;&gt;"○"),AI66=4),"×",IF(J66="",0,AJ66/$AM$2))</f>
        <v>0</v>
      </c>
      <c r="N66" s="537" t="str">
        <f>IF(Q66,"○","×")</f>
        <v>×</v>
      </c>
      <c r="O66" s="2229" t="str">
        <f t="shared" si="81"/>
        <v>-</v>
      </c>
      <c r="P66" s="322"/>
      <c r="Q66" s="584" t="b">
        <f>AND(Q65,R66)</f>
        <v>0</v>
      </c>
      <c r="R66" s="465" t="b">
        <f>R65=1</f>
        <v>0</v>
      </c>
      <c r="S66" s="967" t="b">
        <f>AND(J66="○",$O$157&gt;=0)</f>
        <v>0</v>
      </c>
      <c r="T66" s="465" t="str">
        <f>$BH$6</f>
        <v>事務員</v>
      </c>
      <c r="U66" s="332">
        <f t="shared" ref="U66:U73" si="85">IFERROR(VLOOKUP($F66,$AS$8:$AV$111,4,FALSE),0)</f>
        <v>0</v>
      </c>
      <c r="V66" s="465">
        <v>2</v>
      </c>
      <c r="W66" s="465" t="b">
        <f>AND(Q66,R66)</f>
        <v>0</v>
      </c>
      <c r="X66" s="463" t="b">
        <f ca="1">COUNTIF(INDIRECT(T66),F66)&gt;0</f>
        <v>0</v>
      </c>
      <c r="Y66" s="425" t="b">
        <f>COUNTIF($AC$25:AC65,AC66)+COUNTIF(AC67:$AC$124,AC66)-COUNTIF(Z66:AB66,AC66)=0</f>
        <v>0</v>
      </c>
      <c r="Z66" s="968">
        <f>AC36</f>
        <v>0</v>
      </c>
      <c r="AA66" s="968" t="s">
        <v>874</v>
      </c>
      <c r="AB66" s="968" t="s">
        <v>874</v>
      </c>
      <c r="AC66" s="424">
        <f t="shared" ref="AC66:AC73" si="86">IF(V66=3,0,IFERROR(INDEX($AR$8:$AR$111,MATCH($F66,AS$8:AS$111,0),1),0))</f>
        <v>0</v>
      </c>
      <c r="AD66" s="431" t="b">
        <f>U66&gt;0</f>
        <v>0</v>
      </c>
      <c r="AE66" s="430" t="b">
        <f t="shared" ref="AE66:AE73" si="87">IFERROR(VLOOKUP($F66,$AS$8:$AV$111,2,FALSE),"")="常勤"</f>
        <v>0</v>
      </c>
      <c r="AF66" s="465" t="s">
        <v>1012</v>
      </c>
      <c r="AG66" s="466" t="s">
        <v>1012</v>
      </c>
      <c r="AH66" s="465">
        <v>2</v>
      </c>
      <c r="AI66" s="431">
        <f t="shared" ref="AI66" si="88">IF(AND($W66,$J66="○"),IF($K66="-",IF($U66&lt;IF($AH66=5,$AL$4,$AL$3),$AH66,2),IF($K66=0,IF($U66&lt;IF($AH66=5,$AL$4,$AL$3),IF(OR($AH66=1,$AH66=5),$AH66,3),3),IF(K66&lt;IF($AH66=5,$AL$4,$AL$3),$AH66,IF($K66&gt;$U66,4,2)))),2)</f>
        <v>2</v>
      </c>
      <c r="AJ66" s="336">
        <f t="shared" ref="AJ66" si="89">IF(AI66=1,$AL$3,IF(AI66=5,$AL$4,IF(AI66=2,IF(K66="-",U66,K66),IF(AI66=3,U66,"×"))))</f>
        <v>0</v>
      </c>
      <c r="AL66" s="310"/>
      <c r="AP66" s="338"/>
      <c r="AQ66" s="338"/>
      <c r="AR66" s="312">
        <f t="shared" si="48"/>
        <v>59</v>
      </c>
      <c r="AS66" s="1049" t="str">
        <f>AR66&amp;" "&amp;IF(AU66&lt;&gt;"-",【様式2】職員名簿!B95&amp;"/"&amp;AT66&amp;"/"&amp;AU66,"")</f>
        <v xml:space="preserve">59 </v>
      </c>
      <c r="AT66" s="1049">
        <f>【様式2】職員名簿!E95</f>
        <v>0</v>
      </c>
      <c r="AU66" s="1049" t="str">
        <f>IF(【様式2】職員名簿!J95="エラー","-",【様式2】職員名簿!J95)</f>
        <v>-</v>
      </c>
      <c r="AV66" s="430">
        <f>IF($AT66="常勤",$AM$2,IF($AT66="非常勤",【様式2】職員名簿!G95,0))</f>
        <v>0</v>
      </c>
      <c r="AW66" s="330">
        <f>IF($AU66=AW$3,COUNTIF($AU$8:$AU66,AW$3),0)</f>
        <v>0</v>
      </c>
      <c r="AX66" s="331" t="str">
        <f t="shared" si="70"/>
        <v/>
      </c>
      <c r="AY66" s="332">
        <f>IF($AU66=AY$3,COUNTIF($AU$8:$AU66,AY$3),0)</f>
        <v>0</v>
      </c>
      <c r="AZ66" s="331" t="str">
        <f t="shared" si="71"/>
        <v/>
      </c>
      <c r="BA66" s="332">
        <f>IF($AU66=BA$3,COUNTIFS($AU$8:$AU66,BA$3,$AT$8:$AT66,BA$4),0)</f>
        <v>0</v>
      </c>
      <c r="BB66" s="331" t="str">
        <f t="shared" si="72"/>
        <v/>
      </c>
      <c r="BC66" s="431">
        <f>IF($AU66=BC$3,COUNTIF($AU$8:$AU66,BC$3),0)</f>
        <v>0</v>
      </c>
      <c r="BD66" s="331" t="str">
        <f t="shared" si="73"/>
        <v/>
      </c>
      <c r="BE66" s="312">
        <f>IF(OR($AU66=BE$3,$AU66=BE$4),COUNTIF($AU$8:$AU66,BE$3)+COUNTIF($AU$8:$AU66,BE$4),0)</f>
        <v>0</v>
      </c>
      <c r="BF66" s="331" t="str">
        <f t="shared" si="74"/>
        <v/>
      </c>
      <c r="BG66" s="312">
        <f>IF($AU66=BG$3,COUNTIF($AU$8:$AU66,BG$3),0)</f>
        <v>0</v>
      </c>
      <c r="BH66" s="331" t="str">
        <f t="shared" si="75"/>
        <v/>
      </c>
      <c r="BI66" s="312">
        <f>IF($AU66&lt;&gt;BI$3,COUNTIF($AU$8:$AU66,"&lt;&gt;"&amp;BI$3),0)</f>
        <v>0</v>
      </c>
      <c r="BJ66" s="331" t="str">
        <f t="shared" si="76"/>
        <v/>
      </c>
      <c r="BK66" s="954"/>
      <c r="BL66" s="954"/>
    </row>
    <row r="67" spans="1:64" ht="15" customHeight="1">
      <c r="A67" s="2414"/>
      <c r="B67" s="1714"/>
      <c r="C67" s="1715"/>
      <c r="D67" s="2636"/>
      <c r="E67" s="790" t="str">
        <f>IF(W67,T67,"")</f>
        <v/>
      </c>
      <c r="F67" s="2316"/>
      <c r="G67" s="2317"/>
      <c r="H67" s="2317"/>
      <c r="I67" s="841" t="str">
        <f>IF(OR(NOT(W67),U67=0),"",U67)</f>
        <v/>
      </c>
      <c r="J67" s="829" t="str">
        <f t="shared" si="79"/>
        <v/>
      </c>
      <c r="K67" s="1033"/>
      <c r="L67" s="860" t="str">
        <f t="shared" si="53"/>
        <v/>
      </c>
      <c r="M67" s="534">
        <f t="shared" si="84"/>
        <v>0</v>
      </c>
      <c r="N67" s="791" t="str">
        <f>IF(Q67,"○","×")</f>
        <v>×</v>
      </c>
      <c r="O67" s="2635" t="str">
        <f t="shared" si="81"/>
        <v>-</v>
      </c>
      <c r="P67" s="322"/>
      <c r="Q67" s="584" t="b">
        <f>AND(Q65,R67)</f>
        <v>0</v>
      </c>
      <c r="R67" s="465" t="b">
        <f>R65=2</f>
        <v>0</v>
      </c>
      <c r="S67" s="967" t="b">
        <f>AND(J67="○",$O$157&gt;=0)</f>
        <v>0</v>
      </c>
      <c r="T67" s="465" t="str">
        <f>$BJ$6</f>
        <v>全職種</v>
      </c>
      <c r="U67" s="332">
        <f t="shared" si="85"/>
        <v>0</v>
      </c>
      <c r="V67" s="465">
        <v>3</v>
      </c>
      <c r="W67" s="465" t="b">
        <f>R67</f>
        <v>0</v>
      </c>
      <c r="X67" s="463" t="b">
        <f ca="1">COUNTIF(INDIRECT(T67),F67)&gt;0</f>
        <v>0</v>
      </c>
      <c r="Y67" s="425" t="b">
        <f>COUNTIF($AC$25:AC66,AC67)+COUNTIF(AC68:$AC$124,AC67)-COUNTIF(Z67:AB67,AC67)=0</f>
        <v>0</v>
      </c>
      <c r="Z67" s="968">
        <f>AC38</f>
        <v>0</v>
      </c>
      <c r="AA67" s="968">
        <f>AC39</f>
        <v>0</v>
      </c>
      <c r="AB67" s="968" t="s">
        <v>874</v>
      </c>
      <c r="AC67" s="971">
        <f t="shared" si="86"/>
        <v>0</v>
      </c>
      <c r="AD67" s="431" t="b">
        <f>U67&gt;0</f>
        <v>0</v>
      </c>
      <c r="AE67" s="430" t="b">
        <f t="shared" si="87"/>
        <v>0</v>
      </c>
      <c r="AF67" s="465" t="str">
        <f>IFERROR(VLOOKUP(F67,$AS$8:$AV$111,3,FALSE),"")</f>
        <v/>
      </c>
      <c r="AG67" s="466">
        <f>M67</f>
        <v>0</v>
      </c>
      <c r="AH67" s="465">
        <v>2</v>
      </c>
      <c r="AI67" s="431">
        <f t="shared" ref="AI67" si="90">IF(AND($W67,$J67="○"),IF($K67="-",IF($U67&lt;IF($AH67=5,$AL$4,$AL$3),$AH67,2),IF($K67=0,IF($U67&lt;IF($AH67=5,$AL$4,$AL$3),IF(OR($AH67=1,$AH67=5),$AH67,3),3),IF(K67&lt;IF($AH67=5,$AL$4,$AL$3),$AH67,IF($K67&gt;$U67,4,2)))),2)</f>
        <v>2</v>
      </c>
      <c r="AJ67" s="336">
        <f t="shared" ref="AJ67" si="91">IF(AI67=1,$AL$3,IF(AI67=5,$AL$4,IF(AI67=2,IF(K67="-",U67,K67),IF(AI67=3,U67,"×"))))</f>
        <v>0</v>
      </c>
      <c r="AP67" s="338"/>
      <c r="AQ67" s="338"/>
      <c r="AR67" s="312">
        <f t="shared" si="48"/>
        <v>60</v>
      </c>
      <c r="AS67" s="1049" t="str">
        <f>AR67&amp;" "&amp;IF(AU67&lt;&gt;"-",【様式2】職員名簿!B96&amp;"/"&amp;AT67&amp;"/"&amp;AU67,"")</f>
        <v xml:space="preserve">60 </v>
      </c>
      <c r="AT67" s="1049">
        <f>【様式2】職員名簿!E96</f>
        <v>0</v>
      </c>
      <c r="AU67" s="1049" t="str">
        <f>IF(【様式2】職員名簿!J96="エラー","-",【様式2】職員名簿!J96)</f>
        <v>-</v>
      </c>
      <c r="AV67" s="430">
        <f>IF($AT67="常勤",$AM$2,IF($AT67="非常勤",【様式2】職員名簿!G96,0))</f>
        <v>0</v>
      </c>
      <c r="AW67" s="330">
        <f>IF($AU67=AW$3,COUNTIF($AU$8:$AU67,AW$3),0)</f>
        <v>0</v>
      </c>
      <c r="AX67" s="331" t="str">
        <f t="shared" si="70"/>
        <v/>
      </c>
      <c r="AY67" s="332">
        <f>IF($AU67=AY$3,COUNTIF($AU$8:$AU67,AY$3),0)</f>
        <v>0</v>
      </c>
      <c r="AZ67" s="331" t="str">
        <f t="shared" si="71"/>
        <v/>
      </c>
      <c r="BA67" s="332">
        <f>IF($AU67=BA$3,COUNTIFS($AU$8:$AU67,BA$3,$AT$8:$AT67,BA$4),0)</f>
        <v>0</v>
      </c>
      <c r="BB67" s="331" t="str">
        <f t="shared" si="72"/>
        <v/>
      </c>
      <c r="BC67" s="431">
        <f>IF($AU67=BC$3,COUNTIF($AU$8:$AU67,BC$3),0)</f>
        <v>0</v>
      </c>
      <c r="BD67" s="331" t="str">
        <f t="shared" si="73"/>
        <v/>
      </c>
      <c r="BE67" s="312">
        <f>IF(OR($AU67=BE$3,$AU67=BE$4),COUNTIF($AU$8:$AU67,BE$3)+COUNTIF($AU$8:$AU67,BE$4),0)</f>
        <v>0</v>
      </c>
      <c r="BF67" s="331" t="str">
        <f t="shared" si="74"/>
        <v/>
      </c>
      <c r="BG67" s="312">
        <f>IF($AU67=BG$3,COUNTIF($AU$8:$AU67,BG$3),0)</f>
        <v>0</v>
      </c>
      <c r="BH67" s="331" t="str">
        <f t="shared" si="75"/>
        <v/>
      </c>
      <c r="BI67" s="312">
        <f>IF($AU67&lt;&gt;BI$3,COUNTIF($AU$8:$AU67,"&lt;&gt;"&amp;BI$3),0)</f>
        <v>0</v>
      </c>
      <c r="BJ67" s="331" t="str">
        <f t="shared" si="76"/>
        <v/>
      </c>
      <c r="BK67" s="954"/>
      <c r="BL67" s="954"/>
    </row>
    <row r="68" spans="1:64" ht="15" customHeight="1" thickBot="1">
      <c r="A68" s="2413" t="s">
        <v>6</v>
      </c>
      <c r="B68" s="2250" t="s">
        <v>807</v>
      </c>
      <c r="C68" s="2251"/>
      <c r="D68" s="2272" t="str">
        <f t="shared" ref="D68:D73" si="92">IF(W68,T68,"")</f>
        <v/>
      </c>
      <c r="E68" s="2273"/>
      <c r="F68" s="2637"/>
      <c r="G68" s="2638"/>
      <c r="H68" s="2639"/>
      <c r="I68" s="842" t="str">
        <f t="shared" ref="I68:I73" si="93">IF(OR(NOT(W68),U68=0),"",U68)</f>
        <v/>
      </c>
      <c r="J68" s="962" t="str">
        <f>IF(OR(F68=0,F68=""),"",IF(W68,IF(X68,IF(OR(Y68,V68=3),IF(AD68,IF(OR(AE68,V68=2,V68=3),"○","要常勤"),"時間無"),"重複"),"名簿無"),"対象外"))</f>
        <v/>
      </c>
      <c r="K68" s="1065" t="s">
        <v>873</v>
      </c>
      <c r="L68" s="861" t="str">
        <f t="shared" si="53"/>
        <v/>
      </c>
      <c r="M68" s="850">
        <f t="shared" si="84"/>
        <v>0</v>
      </c>
      <c r="N68" s="965" t="str">
        <f>IF(Q68,"○","×")</f>
        <v>×</v>
      </c>
      <c r="O68" s="966" t="str">
        <f>IF(Q68,IF(S68,"○","×"),"-")</f>
        <v>-</v>
      </c>
      <c r="P68" s="322"/>
      <c r="Q68" s="967" t="b">
        <f>【様式１】総括表・個票!AI249</f>
        <v>0</v>
      </c>
      <c r="R68" s="471" t="s">
        <v>1132</v>
      </c>
      <c r="S68" s="471" t="b">
        <f>AND($J68="○",$O$142&gt;=0)</f>
        <v>0</v>
      </c>
      <c r="T68" s="465" t="str">
        <f t="shared" ref="T68:T73" si="94">$BJ$6</f>
        <v>全職種</v>
      </c>
      <c r="U68" s="332">
        <f t="shared" si="85"/>
        <v>0</v>
      </c>
      <c r="V68" s="465">
        <v>2</v>
      </c>
      <c r="W68" s="465" t="b">
        <f>Q68</f>
        <v>0</v>
      </c>
      <c r="X68" s="463" t="b">
        <f t="shared" ca="1" si="80"/>
        <v>0</v>
      </c>
      <c r="Y68" s="425" t="b">
        <f>COUNTIF($AC$25:AC67,AC68)+COUNTIF(AC69:$AC$124,AC68)-COUNTIF(Z68:AB68,AC68)=0</f>
        <v>0</v>
      </c>
      <c r="Z68" s="968" t="s">
        <v>874</v>
      </c>
      <c r="AA68" s="968" t="s">
        <v>874</v>
      </c>
      <c r="AB68" s="968" t="s">
        <v>874</v>
      </c>
      <c r="AC68" s="971">
        <f t="shared" si="86"/>
        <v>0</v>
      </c>
      <c r="AD68" s="431" t="b">
        <f t="shared" si="13"/>
        <v>0</v>
      </c>
      <c r="AE68" s="430" t="b">
        <f t="shared" si="87"/>
        <v>0</v>
      </c>
      <c r="AF68" s="465" t="s">
        <v>873</v>
      </c>
      <c r="AG68" s="466" t="s">
        <v>873</v>
      </c>
      <c r="AH68" s="465">
        <v>2</v>
      </c>
      <c r="AI68" s="431">
        <f t="shared" si="60"/>
        <v>2</v>
      </c>
      <c r="AJ68" s="336">
        <f t="shared" si="61"/>
        <v>0</v>
      </c>
      <c r="AP68" s="338"/>
      <c r="AQ68" s="338"/>
      <c r="AR68" s="312">
        <f t="shared" si="48"/>
        <v>61</v>
      </c>
      <c r="AS68" s="1049" t="str">
        <f>AR68&amp;" "&amp;IF(AU68&lt;&gt;"-",【様式2】職員名簿!B97&amp;"/"&amp;AT68&amp;"/"&amp;AU68,"")</f>
        <v xml:space="preserve">61 </v>
      </c>
      <c r="AT68" s="1049">
        <f>【様式2】職員名簿!E97</f>
        <v>0</v>
      </c>
      <c r="AU68" s="1049" t="str">
        <f>IF(【様式2】職員名簿!J97="エラー","-",【様式2】職員名簿!J97)</f>
        <v>-</v>
      </c>
      <c r="AV68" s="430">
        <f>IF($AT68="常勤",$AM$2,IF($AT68="非常勤",【様式2】職員名簿!G97,0))</f>
        <v>0</v>
      </c>
      <c r="AW68" s="330">
        <f>IF($AU68=AW$3,COUNTIF($AU$8:$AU68,AW$3),0)</f>
        <v>0</v>
      </c>
      <c r="AX68" s="331" t="str">
        <f t="shared" si="70"/>
        <v/>
      </c>
      <c r="AY68" s="332">
        <f>IF($AU68=AY$3,COUNTIF($AU$8:$AU68,AY$3),0)</f>
        <v>0</v>
      </c>
      <c r="AZ68" s="331" t="str">
        <f t="shared" si="71"/>
        <v/>
      </c>
      <c r="BA68" s="332">
        <f>IF($AU68=BA$3,COUNTIFS($AU$8:$AU68,BA$3,$AT$8:$AT68,BA$4),0)</f>
        <v>0</v>
      </c>
      <c r="BB68" s="331" t="str">
        <f t="shared" si="72"/>
        <v/>
      </c>
      <c r="BC68" s="431">
        <f>IF($AU68=BC$3,COUNTIF($AU$8:$AU68,BC$3),0)</f>
        <v>0</v>
      </c>
      <c r="BD68" s="331" t="str">
        <f t="shared" si="73"/>
        <v/>
      </c>
      <c r="BE68" s="312">
        <f>IF(OR($AU68=BE$3,$AU68=BE$4),COUNTIF($AU$8:$AU68,BE$3)+COUNTIF($AU$8:$AU68,BE$4),0)</f>
        <v>0</v>
      </c>
      <c r="BF68" s="331" t="str">
        <f t="shared" si="74"/>
        <v/>
      </c>
      <c r="BG68" s="312">
        <f>IF($AU68=BG$3,COUNTIF($AU$8:$AU68,BG$3),0)</f>
        <v>0</v>
      </c>
      <c r="BH68" s="331" t="str">
        <f t="shared" si="75"/>
        <v/>
      </c>
      <c r="BI68" s="312">
        <f>IF($AU68&lt;&gt;BI$3,COUNTIF($AU$8:$AU68,"&lt;&gt;"&amp;BI$3),0)</f>
        <v>0</v>
      </c>
      <c r="BJ68" s="331" t="str">
        <f t="shared" si="76"/>
        <v/>
      </c>
      <c r="BK68" s="954"/>
      <c r="BL68" s="954"/>
    </row>
    <row r="69" spans="1:64" ht="15" customHeight="1" thickTop="1">
      <c r="A69" s="2413"/>
      <c r="B69" s="2254" t="s">
        <v>1104</v>
      </c>
      <c r="C69" s="2249"/>
      <c r="D69" s="2300" t="str">
        <f t="shared" si="92"/>
        <v>全職種</v>
      </c>
      <c r="E69" s="2301"/>
      <c r="F69" s="2585"/>
      <c r="G69" s="2586"/>
      <c r="H69" s="2587"/>
      <c r="I69" s="838" t="str">
        <f t="shared" si="93"/>
        <v/>
      </c>
      <c r="J69" s="983" t="str">
        <f t="shared" ref="J69:J71" si="95">IF(OR(F69=0,F69=""),"",IF(W69,IF(X69,IF(OR(Y69,V69=3),IF(AD69,IF(OR(AE69,V69=2,V69=3),"○","要常勤"),"時間無"),"重複"),"名簿無"),"対象外"))</f>
        <v/>
      </c>
      <c r="K69" s="800" t="s">
        <v>874</v>
      </c>
      <c r="L69" s="847" t="str">
        <f t="shared" si="53"/>
        <v/>
      </c>
      <c r="M69" s="528">
        <f t="shared" si="84"/>
        <v>0</v>
      </c>
      <c r="N69" s="2642">
        <f>SUM(M69:M73)</f>
        <v>0</v>
      </c>
      <c r="O69" s="2249"/>
      <c r="P69" s="322"/>
      <c r="Q69" s="678"/>
      <c r="R69" s="678"/>
      <c r="S69" s="678"/>
      <c r="T69" s="465" t="str">
        <f t="shared" si="94"/>
        <v>全職種</v>
      </c>
      <c r="U69" s="332">
        <f t="shared" si="85"/>
        <v>0</v>
      </c>
      <c r="V69" s="465">
        <v>2</v>
      </c>
      <c r="W69" s="465" t="b">
        <f>NOT(AE69)</f>
        <v>1</v>
      </c>
      <c r="X69" s="463" t="b">
        <f t="shared" ref="X69:X71" ca="1" si="96">COUNTIF(INDIRECT(T69),F69)&gt;0</f>
        <v>0</v>
      </c>
      <c r="Y69" s="425" t="b">
        <f>COUNTIF($AC$25:AC68,AC69)+COUNTIF(AC70:$AC$124,AC69)-COUNTIF(Z69:AB69,AC69)=0</f>
        <v>0</v>
      </c>
      <c r="Z69" s="968" t="s">
        <v>874</v>
      </c>
      <c r="AA69" s="968" t="s">
        <v>874</v>
      </c>
      <c r="AB69" s="968" t="s">
        <v>874</v>
      </c>
      <c r="AC69" s="971">
        <f t="shared" si="86"/>
        <v>0</v>
      </c>
      <c r="AD69" s="431" t="b">
        <f t="shared" ref="AD69:AD71" si="97">U69&gt;0</f>
        <v>0</v>
      </c>
      <c r="AE69" s="430" t="b">
        <f t="shared" si="87"/>
        <v>0</v>
      </c>
      <c r="AF69" s="465" t="str">
        <f>IFERROR(VLOOKUP(F69,$AS$8:$AV$111,3,FALSE),"")</f>
        <v/>
      </c>
      <c r="AG69" s="466">
        <f t="shared" ref="AG69:AG73" si="98">M69</f>
        <v>0</v>
      </c>
      <c r="AH69" s="465">
        <v>2</v>
      </c>
      <c r="AI69" s="431">
        <f t="shared" si="60"/>
        <v>2</v>
      </c>
      <c r="AJ69" s="336">
        <f t="shared" si="61"/>
        <v>0</v>
      </c>
      <c r="AP69" s="338"/>
      <c r="AQ69" s="338"/>
      <c r="AR69" s="312">
        <f t="shared" si="48"/>
        <v>62</v>
      </c>
      <c r="AS69" s="1049" t="str">
        <f>AR69&amp;" "&amp;IF(AU69&lt;&gt;"-",【様式2】職員名簿!B98&amp;"/"&amp;AT69&amp;"/"&amp;AU69,"")</f>
        <v xml:space="preserve">62 </v>
      </c>
      <c r="AT69" s="1049">
        <f>【様式2】職員名簿!E98</f>
        <v>0</v>
      </c>
      <c r="AU69" s="1049" t="str">
        <f>IF(【様式2】職員名簿!J98="エラー","-",【様式2】職員名簿!J98)</f>
        <v>-</v>
      </c>
      <c r="AV69" s="430">
        <f>IF($AT69="常勤",$AM$2,IF($AT69="非常勤",【様式2】職員名簿!G98,0))</f>
        <v>0</v>
      </c>
      <c r="AW69" s="330">
        <f>IF($AU69=AW$3,COUNTIF($AU$8:$AU69,AW$3),0)</f>
        <v>0</v>
      </c>
      <c r="AX69" s="331" t="str">
        <f t="shared" si="70"/>
        <v/>
      </c>
      <c r="AY69" s="332">
        <f>IF($AU69=AY$3,COUNTIF($AU$8:$AU69,AY$3),0)</f>
        <v>0</v>
      </c>
      <c r="AZ69" s="331" t="str">
        <f t="shared" si="71"/>
        <v/>
      </c>
      <c r="BA69" s="332">
        <f>IF($AU69=BA$3,COUNTIFS($AU$8:$AU69,BA$3,$AT$8:$AT69,BA$4),0)</f>
        <v>0</v>
      </c>
      <c r="BB69" s="331" t="str">
        <f t="shared" si="72"/>
        <v/>
      </c>
      <c r="BC69" s="431">
        <f>IF($AU69=BC$3,COUNTIF($AU$8:$AU69,BC$3),0)</f>
        <v>0</v>
      </c>
      <c r="BD69" s="331" t="str">
        <f t="shared" si="73"/>
        <v/>
      </c>
      <c r="BE69" s="312">
        <f>IF(OR($AU69=BE$3,$AU69=BE$4),COUNTIF($AU$8:$AU69,BE$3)+COUNTIF($AU$8:$AU69,BE$4),0)</f>
        <v>0</v>
      </c>
      <c r="BF69" s="331" t="str">
        <f t="shared" si="74"/>
        <v/>
      </c>
      <c r="BG69" s="312">
        <f>IF($AU69=BG$3,COUNTIF($AU$8:$AU69,BG$3),0)</f>
        <v>0</v>
      </c>
      <c r="BH69" s="331" t="str">
        <f t="shared" si="75"/>
        <v/>
      </c>
      <c r="BI69" s="312">
        <f>IF($AU69&lt;&gt;BI$3,COUNTIF($AU$8:$AU69,"&lt;&gt;"&amp;BI$3),0)</f>
        <v>0</v>
      </c>
      <c r="BJ69" s="331" t="str">
        <f t="shared" si="76"/>
        <v/>
      </c>
      <c r="BK69" s="954"/>
      <c r="BL69" s="954"/>
    </row>
    <row r="70" spans="1:64" ht="15" customHeight="1">
      <c r="A70" s="2413"/>
      <c r="B70" s="2250"/>
      <c r="C70" s="2251"/>
      <c r="D70" s="2261" t="str">
        <f t="shared" si="92"/>
        <v>全職種</v>
      </c>
      <c r="E70" s="2262"/>
      <c r="F70" s="2266"/>
      <c r="G70" s="2267"/>
      <c r="H70" s="2268"/>
      <c r="I70" s="837" t="str">
        <f t="shared" si="93"/>
        <v/>
      </c>
      <c r="J70" s="984" t="str">
        <f t="shared" si="95"/>
        <v/>
      </c>
      <c r="K70" s="801" t="s">
        <v>874</v>
      </c>
      <c r="L70" s="848" t="str">
        <f t="shared" si="53"/>
        <v/>
      </c>
      <c r="M70" s="576">
        <f t="shared" si="84"/>
        <v>0</v>
      </c>
      <c r="N70" s="2272"/>
      <c r="O70" s="2251"/>
      <c r="P70" s="322"/>
      <c r="Q70" s="679"/>
      <c r="R70" s="679"/>
      <c r="S70" s="679"/>
      <c r="T70" s="465" t="str">
        <f t="shared" si="94"/>
        <v>全職種</v>
      </c>
      <c r="U70" s="332">
        <f t="shared" si="85"/>
        <v>0</v>
      </c>
      <c r="V70" s="465">
        <v>2</v>
      </c>
      <c r="W70" s="465" t="b">
        <f t="shared" ref="W70:W73" si="99">NOT(AE70)</f>
        <v>1</v>
      </c>
      <c r="X70" s="463" t="b">
        <f t="shared" ca="1" si="96"/>
        <v>0</v>
      </c>
      <c r="Y70" s="425" t="b">
        <f>COUNTIF($AC$25:AC69,AC70)+COUNTIF(AC71:$AC$124,AC70)-COUNTIF(Z70:AB70,AC70)=0</f>
        <v>0</v>
      </c>
      <c r="Z70" s="968" t="s">
        <v>874</v>
      </c>
      <c r="AA70" s="968" t="s">
        <v>874</v>
      </c>
      <c r="AB70" s="968" t="s">
        <v>874</v>
      </c>
      <c r="AC70" s="971">
        <f t="shared" si="86"/>
        <v>0</v>
      </c>
      <c r="AD70" s="431" t="b">
        <f t="shared" si="97"/>
        <v>0</v>
      </c>
      <c r="AE70" s="430" t="b">
        <f t="shared" si="87"/>
        <v>0</v>
      </c>
      <c r="AF70" s="465" t="str">
        <f>IFERROR(VLOOKUP(F70,$AS$8:$AV$111,3,FALSE),"")</f>
        <v/>
      </c>
      <c r="AG70" s="466">
        <f t="shared" si="98"/>
        <v>0</v>
      </c>
      <c r="AH70" s="465">
        <v>2</v>
      </c>
      <c r="AI70" s="431">
        <f t="shared" si="60"/>
        <v>2</v>
      </c>
      <c r="AJ70" s="336">
        <f t="shared" si="61"/>
        <v>0</v>
      </c>
      <c r="AL70" s="310"/>
      <c r="AP70" s="338"/>
      <c r="AQ70" s="338"/>
      <c r="AR70" s="312">
        <f t="shared" si="48"/>
        <v>63</v>
      </c>
      <c r="AS70" s="1049" t="str">
        <f>AR70&amp;" "&amp;IF(AU70&lt;&gt;"-",【様式2】職員名簿!B99&amp;"/"&amp;AT70&amp;"/"&amp;AU70,"")</f>
        <v xml:space="preserve">63 </v>
      </c>
      <c r="AT70" s="1049">
        <f>【様式2】職員名簿!E99</f>
        <v>0</v>
      </c>
      <c r="AU70" s="1049" t="str">
        <f>IF(【様式2】職員名簿!J99="エラー","-",【様式2】職員名簿!J99)</f>
        <v>-</v>
      </c>
      <c r="AV70" s="430">
        <f>IF($AT70="常勤",$AM$2,IF($AT70="非常勤",【様式2】職員名簿!G99,0))</f>
        <v>0</v>
      </c>
      <c r="AW70" s="330">
        <f>IF($AU70=AW$3,COUNTIF($AU$8:$AU70,AW$3),0)</f>
        <v>0</v>
      </c>
      <c r="AX70" s="331" t="str">
        <f t="shared" si="70"/>
        <v/>
      </c>
      <c r="AY70" s="332">
        <f>IF($AU70=AY$3,COUNTIF($AU$8:$AU70,AY$3),0)</f>
        <v>0</v>
      </c>
      <c r="AZ70" s="331" t="str">
        <f t="shared" si="71"/>
        <v/>
      </c>
      <c r="BA70" s="332">
        <f>IF($AU70=BA$3,COUNTIFS($AU$8:$AU70,BA$3,$AT$8:$AT70,BA$4),0)</f>
        <v>0</v>
      </c>
      <c r="BB70" s="331" t="str">
        <f t="shared" si="72"/>
        <v/>
      </c>
      <c r="BC70" s="431">
        <f>IF($AU70=BC$3,COUNTIF($AU$8:$AU70,BC$3),0)</f>
        <v>0</v>
      </c>
      <c r="BD70" s="331" t="str">
        <f t="shared" si="73"/>
        <v/>
      </c>
      <c r="BE70" s="312">
        <f>IF(OR($AU70=BE$3,$AU70=BE$4),COUNTIF($AU$8:$AU70,BE$3)+COUNTIF($AU$8:$AU70,BE$4),0)</f>
        <v>0</v>
      </c>
      <c r="BF70" s="331" t="str">
        <f t="shared" si="74"/>
        <v/>
      </c>
      <c r="BG70" s="312">
        <f>IF($AU70=BG$3,COUNTIF($AU$8:$AU70,BG$3),0)</f>
        <v>0</v>
      </c>
      <c r="BH70" s="331" t="str">
        <f t="shared" si="75"/>
        <v/>
      </c>
      <c r="BI70" s="312">
        <f>IF($AU70&lt;&gt;BI$3,COUNTIF($AU$8:$AU70,"&lt;&gt;"&amp;BI$3),0)</f>
        <v>0</v>
      </c>
      <c r="BJ70" s="331" t="str">
        <f t="shared" si="76"/>
        <v/>
      </c>
      <c r="BK70" s="954"/>
      <c r="BL70" s="954"/>
    </row>
    <row r="71" spans="1:64" ht="15" customHeight="1">
      <c r="A71" s="2413"/>
      <c r="B71" s="2250"/>
      <c r="C71" s="2251"/>
      <c r="D71" s="2261" t="str">
        <f t="shared" si="92"/>
        <v>全職種</v>
      </c>
      <c r="E71" s="2262"/>
      <c r="F71" s="2266"/>
      <c r="G71" s="2267"/>
      <c r="H71" s="2268"/>
      <c r="I71" s="837" t="str">
        <f t="shared" si="93"/>
        <v/>
      </c>
      <c r="J71" s="984" t="str">
        <f t="shared" si="95"/>
        <v/>
      </c>
      <c r="K71" s="801" t="s">
        <v>874</v>
      </c>
      <c r="L71" s="848" t="str">
        <f t="shared" si="53"/>
        <v/>
      </c>
      <c r="M71" s="576">
        <f t="shared" si="84"/>
        <v>0</v>
      </c>
      <c r="N71" s="2272"/>
      <c r="O71" s="2251"/>
      <c r="P71" s="322"/>
      <c r="Q71" s="679"/>
      <c r="R71" s="679"/>
      <c r="S71" s="679"/>
      <c r="T71" s="465" t="str">
        <f t="shared" si="94"/>
        <v>全職種</v>
      </c>
      <c r="U71" s="332">
        <f t="shared" si="85"/>
        <v>0</v>
      </c>
      <c r="V71" s="465">
        <v>2</v>
      </c>
      <c r="W71" s="465" t="b">
        <f t="shared" si="99"/>
        <v>1</v>
      </c>
      <c r="X71" s="463" t="b">
        <f t="shared" ca="1" si="96"/>
        <v>0</v>
      </c>
      <c r="Y71" s="425" t="b">
        <f>COUNTIF($AC$25:AC70,AC71)+COUNTIF(AC72:$AC$124,AC71)-COUNTIF(Z71:AB71,AC71)=0</f>
        <v>0</v>
      </c>
      <c r="Z71" s="968" t="s">
        <v>874</v>
      </c>
      <c r="AA71" s="968" t="s">
        <v>874</v>
      </c>
      <c r="AB71" s="968" t="s">
        <v>874</v>
      </c>
      <c r="AC71" s="971">
        <f t="shared" si="86"/>
        <v>0</v>
      </c>
      <c r="AD71" s="431" t="b">
        <f t="shared" si="97"/>
        <v>0</v>
      </c>
      <c r="AE71" s="430" t="b">
        <f t="shared" si="87"/>
        <v>0</v>
      </c>
      <c r="AF71" s="465" t="str">
        <f>IFERROR(VLOOKUP(F71,$AS$8:$AV$111,3,FALSE),"")</f>
        <v/>
      </c>
      <c r="AG71" s="466">
        <f t="shared" si="98"/>
        <v>0</v>
      </c>
      <c r="AH71" s="465">
        <v>2</v>
      </c>
      <c r="AI71" s="431">
        <f t="shared" si="60"/>
        <v>2</v>
      </c>
      <c r="AJ71" s="336">
        <f t="shared" si="61"/>
        <v>0</v>
      </c>
      <c r="AL71" s="310"/>
      <c r="AM71" s="310"/>
      <c r="AP71" s="338"/>
      <c r="AR71" s="312">
        <f t="shared" si="48"/>
        <v>64</v>
      </c>
      <c r="AS71" s="1049" t="str">
        <f>AR71&amp;" "&amp;IF(AU71&lt;&gt;"-",【様式2】職員名簿!B100&amp;"/"&amp;AT71&amp;"/"&amp;AU71,"")</f>
        <v xml:space="preserve">64 </v>
      </c>
      <c r="AT71" s="1049">
        <f>【様式2】職員名簿!E100</f>
        <v>0</v>
      </c>
      <c r="AU71" s="1049" t="str">
        <f>IF(【様式2】職員名簿!J100="エラー","-",【様式2】職員名簿!J100)</f>
        <v>-</v>
      </c>
      <c r="AV71" s="430">
        <f>IF($AT71="常勤",$AM$2,IF($AT71="非常勤",【様式2】職員名簿!G100,0))</f>
        <v>0</v>
      </c>
      <c r="AW71" s="330">
        <f>IF($AU71=AW$3,COUNTIF($AU$8:$AU71,AW$3),0)</f>
        <v>0</v>
      </c>
      <c r="AX71" s="331" t="str">
        <f t="shared" si="70"/>
        <v/>
      </c>
      <c r="AY71" s="332">
        <f>IF($AU71=AY$3,COUNTIF($AU$8:$AU71,AY$3),0)</f>
        <v>0</v>
      </c>
      <c r="AZ71" s="331" t="str">
        <f t="shared" si="71"/>
        <v/>
      </c>
      <c r="BA71" s="332">
        <f>IF($AU71=BA$3,COUNTIFS($AU$8:$AU71,BA$3,$AT$8:$AT71,BA$4),0)</f>
        <v>0</v>
      </c>
      <c r="BB71" s="331" t="str">
        <f t="shared" si="72"/>
        <v/>
      </c>
      <c r="BC71" s="431">
        <f>IF($AU71=BC$3,COUNTIF($AU$8:$AU71,BC$3),0)</f>
        <v>0</v>
      </c>
      <c r="BD71" s="331" t="str">
        <f t="shared" si="73"/>
        <v/>
      </c>
      <c r="BE71" s="312">
        <f>IF(OR($AU71=BE$3,$AU71=BE$4),COUNTIF($AU$8:$AU71,BE$3)+COUNTIF($AU$8:$AU71,BE$4),0)</f>
        <v>0</v>
      </c>
      <c r="BF71" s="331" t="str">
        <f t="shared" si="74"/>
        <v/>
      </c>
      <c r="BG71" s="312">
        <f>IF($AU71=BG$3,COUNTIF($AU$8:$AU71,BG$3),0)</f>
        <v>0</v>
      </c>
      <c r="BH71" s="331" t="str">
        <f t="shared" si="75"/>
        <v/>
      </c>
      <c r="BI71" s="312">
        <f>IF($AU71&lt;&gt;BI$3,COUNTIF($AU$8:$AU71,"&lt;&gt;"&amp;BI$3),0)</f>
        <v>0</v>
      </c>
      <c r="BJ71" s="331" t="str">
        <f t="shared" si="76"/>
        <v/>
      </c>
      <c r="BK71" s="954"/>
      <c r="BL71" s="954"/>
    </row>
    <row r="72" spans="1:64" ht="15" customHeight="1">
      <c r="A72" s="2413"/>
      <c r="B72" s="2250"/>
      <c r="C72" s="2251"/>
      <c r="D72" s="2261" t="str">
        <f t="shared" si="92"/>
        <v>全職種</v>
      </c>
      <c r="E72" s="2262"/>
      <c r="F72" s="2266"/>
      <c r="G72" s="2267"/>
      <c r="H72" s="2268"/>
      <c r="I72" s="837" t="str">
        <f t="shared" si="93"/>
        <v/>
      </c>
      <c r="J72" s="984" t="str">
        <f t="shared" ref="J72" si="100">IF(OR(F72=0,F72=""),"",IF(W72,IF(X72,IF(OR(Y72,V72=3),IF(AD72,IF(OR(AE72,V72=2,V72=3),"○","要常勤"),"時間無"),"重複"),"名簿無"),"対象外"))</f>
        <v/>
      </c>
      <c r="K72" s="801" t="s">
        <v>874</v>
      </c>
      <c r="L72" s="848" t="str">
        <f t="shared" si="53"/>
        <v/>
      </c>
      <c r="M72" s="576">
        <f t="shared" si="84"/>
        <v>0</v>
      </c>
      <c r="N72" s="2272"/>
      <c r="O72" s="2251"/>
      <c r="P72" s="322"/>
      <c r="Q72" s="679"/>
      <c r="R72" s="679"/>
      <c r="S72" s="679"/>
      <c r="T72" s="465" t="str">
        <f t="shared" si="94"/>
        <v>全職種</v>
      </c>
      <c r="U72" s="332">
        <f t="shared" si="85"/>
        <v>0</v>
      </c>
      <c r="V72" s="465">
        <v>2</v>
      </c>
      <c r="W72" s="465" t="b">
        <f t="shared" si="99"/>
        <v>1</v>
      </c>
      <c r="X72" s="463" t="b">
        <f t="shared" ref="X72" ca="1" si="101">COUNTIF(INDIRECT(T72),F72)&gt;0</f>
        <v>0</v>
      </c>
      <c r="Y72" s="425" t="b">
        <f>COUNTIF($AC$25:AC71,AC72)+COUNTIF(AC73:$AC$124,AC72)-COUNTIF(Z72:AB72,AC72)=0</f>
        <v>0</v>
      </c>
      <c r="Z72" s="968" t="s">
        <v>874</v>
      </c>
      <c r="AA72" s="968" t="s">
        <v>874</v>
      </c>
      <c r="AB72" s="968" t="s">
        <v>874</v>
      </c>
      <c r="AC72" s="971">
        <f t="shared" si="86"/>
        <v>0</v>
      </c>
      <c r="AD72" s="431" t="b">
        <f t="shared" ref="AD72" si="102">U72&gt;0</f>
        <v>0</v>
      </c>
      <c r="AE72" s="430" t="b">
        <f t="shared" si="87"/>
        <v>0</v>
      </c>
      <c r="AF72" s="465" t="str">
        <f>IFERROR(VLOOKUP(F72,$AS$8:$AV$111,3,FALSE),"")</f>
        <v/>
      </c>
      <c r="AG72" s="466">
        <f t="shared" si="98"/>
        <v>0</v>
      </c>
      <c r="AH72" s="465">
        <v>2</v>
      </c>
      <c r="AI72" s="431">
        <f t="shared" si="60"/>
        <v>2</v>
      </c>
      <c r="AJ72" s="336">
        <f t="shared" si="61"/>
        <v>0</v>
      </c>
      <c r="AL72" s="310"/>
      <c r="AM72" s="310"/>
      <c r="AP72" s="338"/>
      <c r="AQ72" s="338"/>
      <c r="AR72" s="312">
        <f t="shared" si="48"/>
        <v>65</v>
      </c>
      <c r="AS72" s="1049" t="str">
        <f>AR72&amp;" "&amp;IF(AU72&lt;&gt;"-",【様式2】職員名簿!B101&amp;"/"&amp;AT72&amp;"/"&amp;AU72,"")</f>
        <v xml:space="preserve">65 </v>
      </c>
      <c r="AT72" s="1049">
        <f>【様式2】職員名簿!E101</f>
        <v>0</v>
      </c>
      <c r="AU72" s="1049" t="str">
        <f>IF(【様式2】職員名簿!J101="エラー","-",【様式2】職員名簿!J101)</f>
        <v>-</v>
      </c>
      <c r="AV72" s="430">
        <f>IF($AT72="常勤",$AM$2,IF($AT72="非常勤",【様式2】職員名簿!G101,0))</f>
        <v>0</v>
      </c>
      <c r="AW72" s="330">
        <f>IF($AU72=AW$3,COUNTIF($AU$8:$AU72,AW$3),0)</f>
        <v>0</v>
      </c>
      <c r="AX72" s="331" t="str">
        <f t="shared" si="70"/>
        <v/>
      </c>
      <c r="AY72" s="332">
        <f>IF($AU72=AY$3,COUNTIF($AU$8:$AU72,AY$3),0)</f>
        <v>0</v>
      </c>
      <c r="AZ72" s="331" t="str">
        <f t="shared" si="71"/>
        <v/>
      </c>
      <c r="BA72" s="332">
        <f>IF($AU72=BA$3,COUNTIFS($AU$8:$AU72,BA$3,$AT$8:$AT72,BA$4),0)</f>
        <v>0</v>
      </c>
      <c r="BB72" s="331" t="str">
        <f t="shared" si="72"/>
        <v/>
      </c>
      <c r="BC72" s="431">
        <f>IF($AU72=BC$3,COUNTIF($AU$8:$AU72,BC$3),0)</f>
        <v>0</v>
      </c>
      <c r="BD72" s="331" t="str">
        <f t="shared" si="73"/>
        <v/>
      </c>
      <c r="BE72" s="312">
        <f>IF(OR($AU72=BE$3,$AU72=BE$4),COUNTIF($AU$8:$AU72,BE$3)+COUNTIF($AU$8:$AU72,BE$4),0)</f>
        <v>0</v>
      </c>
      <c r="BF72" s="331" t="str">
        <f t="shared" si="74"/>
        <v/>
      </c>
      <c r="BG72" s="312">
        <f>IF($AU72=BG$3,COUNTIF($AU$8:$AU72,BG$3),0)</f>
        <v>0</v>
      </c>
      <c r="BH72" s="331" t="str">
        <f t="shared" si="75"/>
        <v/>
      </c>
      <c r="BI72" s="312">
        <f>IF($AU72&lt;&gt;BI$3,COUNTIF($AU$8:$AU72,"&lt;&gt;"&amp;BI$3),0)</f>
        <v>0</v>
      </c>
      <c r="BJ72" s="331" t="str">
        <f t="shared" si="76"/>
        <v/>
      </c>
      <c r="BK72" s="954"/>
      <c r="BL72" s="954"/>
    </row>
    <row r="73" spans="1:64" ht="15" customHeight="1" thickBot="1">
      <c r="A73" s="2421"/>
      <c r="B73" s="2671"/>
      <c r="C73" s="2644"/>
      <c r="D73" s="2666" t="str">
        <f t="shared" si="92"/>
        <v>全職種</v>
      </c>
      <c r="E73" s="2667"/>
      <c r="F73" s="2668"/>
      <c r="G73" s="2669"/>
      <c r="H73" s="2670"/>
      <c r="I73" s="843" t="str">
        <f t="shared" si="93"/>
        <v/>
      </c>
      <c r="J73" s="531" t="str">
        <f t="shared" si="79"/>
        <v/>
      </c>
      <c r="K73" s="828" t="s">
        <v>874</v>
      </c>
      <c r="L73" s="862" t="str">
        <f t="shared" si="53"/>
        <v/>
      </c>
      <c r="M73" s="863">
        <f t="shared" si="84"/>
        <v>0</v>
      </c>
      <c r="N73" s="2643"/>
      <c r="O73" s="2644"/>
      <c r="P73" s="322"/>
      <c r="Q73" s="679"/>
      <c r="R73" s="679"/>
      <c r="S73" s="679"/>
      <c r="T73" s="465" t="str">
        <f t="shared" si="94"/>
        <v>全職種</v>
      </c>
      <c r="U73" s="332">
        <f t="shared" si="85"/>
        <v>0</v>
      </c>
      <c r="V73" s="465">
        <v>2</v>
      </c>
      <c r="W73" s="465" t="b">
        <f t="shared" si="99"/>
        <v>1</v>
      </c>
      <c r="X73" s="463" t="b">
        <f t="shared" ca="1" si="80"/>
        <v>0</v>
      </c>
      <c r="Y73" s="425" t="b">
        <f>COUNTIF($AC$25:AC72,AC73)+COUNTIF(AC74:$AC$124,AC73)-COUNTIF(Z73:AB73,AC73)=0</f>
        <v>0</v>
      </c>
      <c r="Z73" s="968" t="s">
        <v>874</v>
      </c>
      <c r="AA73" s="968" t="s">
        <v>874</v>
      </c>
      <c r="AB73" s="968" t="s">
        <v>874</v>
      </c>
      <c r="AC73" s="971">
        <f t="shared" si="86"/>
        <v>0</v>
      </c>
      <c r="AD73" s="431" t="b">
        <f t="shared" si="13"/>
        <v>0</v>
      </c>
      <c r="AE73" s="430" t="b">
        <f t="shared" si="87"/>
        <v>0</v>
      </c>
      <c r="AF73" s="465" t="str">
        <f>IFERROR(VLOOKUP(F73,$AS$8:$AV$111,3,FALSE),"")</f>
        <v/>
      </c>
      <c r="AG73" s="466">
        <f t="shared" si="98"/>
        <v>0</v>
      </c>
      <c r="AH73" s="465">
        <v>2</v>
      </c>
      <c r="AI73" s="431">
        <f t="shared" si="60"/>
        <v>2</v>
      </c>
      <c r="AJ73" s="336">
        <f t="shared" si="61"/>
        <v>0</v>
      </c>
      <c r="AL73" s="333"/>
      <c r="AM73" s="310"/>
      <c r="AQ73" s="338"/>
      <c r="AR73" s="312">
        <f t="shared" si="48"/>
        <v>66</v>
      </c>
      <c r="AS73" s="1049" t="str">
        <f>AR73&amp;" "&amp;IF(AU73&lt;&gt;"-",【様式2】職員名簿!B102&amp;"/"&amp;AT73&amp;"/"&amp;AU73,"")</f>
        <v xml:space="preserve">66 </v>
      </c>
      <c r="AT73" s="1049">
        <f>【様式2】職員名簿!E102</f>
        <v>0</v>
      </c>
      <c r="AU73" s="1049" t="str">
        <f>IF(【様式2】職員名簿!J102="エラー","-",【様式2】職員名簿!J102)</f>
        <v>-</v>
      </c>
      <c r="AV73" s="430">
        <f>IF($AT73="常勤",$AM$2,IF($AT73="非常勤",【様式2】職員名簿!G102,0))</f>
        <v>0</v>
      </c>
      <c r="AW73" s="330">
        <f>IF($AU73=AW$3,COUNTIF($AU$8:$AU73,AW$3),0)</f>
        <v>0</v>
      </c>
      <c r="AX73" s="331" t="str">
        <f t="shared" si="70"/>
        <v/>
      </c>
      <c r="AY73" s="332">
        <f>IF($AU73=AY$3,COUNTIF($AU$8:$AU73,AY$3),0)</f>
        <v>0</v>
      </c>
      <c r="AZ73" s="331" t="str">
        <f t="shared" si="71"/>
        <v/>
      </c>
      <c r="BA73" s="332">
        <f>IF($AU73=BA$3,COUNTIFS($AU$8:$AU73,BA$3,$AT$8:$AT73,BA$4),0)</f>
        <v>0</v>
      </c>
      <c r="BB73" s="331" t="str">
        <f t="shared" si="72"/>
        <v/>
      </c>
      <c r="BC73" s="431">
        <f>IF($AU73=BC$3,COUNTIF($AU$8:$AU73,BC$3),0)</f>
        <v>0</v>
      </c>
      <c r="BD73" s="331" t="str">
        <f t="shared" si="73"/>
        <v/>
      </c>
      <c r="BE73" s="312">
        <f>IF(OR($AU73=BE$3,$AU73=BE$4),COUNTIF($AU$8:$AU73,BE$3)+COUNTIF($AU$8:$AU73,BE$4),0)</f>
        <v>0</v>
      </c>
      <c r="BF73" s="331" t="str">
        <f t="shared" si="74"/>
        <v/>
      </c>
      <c r="BG73" s="312">
        <f>IF($AU73=BG$3,COUNTIF($AU$8:$AU73,BG$3),0)</f>
        <v>0</v>
      </c>
      <c r="BH73" s="331" t="str">
        <f t="shared" si="75"/>
        <v/>
      </c>
      <c r="BI73" s="312">
        <f>IF($AU73&lt;&gt;BI$3,COUNTIF($AU$8:$AU73,"&lt;&gt;"&amp;BI$3),0)</f>
        <v>0</v>
      </c>
      <c r="BJ73" s="331" t="str">
        <f t="shared" si="76"/>
        <v/>
      </c>
      <c r="BK73" s="954"/>
      <c r="BL73" s="954"/>
    </row>
    <row r="74" spans="1:64" ht="15" customHeight="1">
      <c r="A74" s="2403" t="s">
        <v>99</v>
      </c>
      <c r="B74" s="2404"/>
      <c r="C74" s="2405"/>
      <c r="D74" s="2440" t="s">
        <v>1107</v>
      </c>
      <c r="E74" s="2441"/>
      <c r="F74" s="2441"/>
      <c r="G74" s="2441"/>
      <c r="H74" s="2441"/>
      <c r="I74" s="2441"/>
      <c r="J74" s="2441"/>
      <c r="K74" s="2441"/>
      <c r="L74" s="2441"/>
      <c r="M74" s="2442"/>
      <c r="N74" s="2429" t="s">
        <v>875</v>
      </c>
      <c r="O74" s="2430"/>
      <c r="P74" s="322"/>
      <c r="Q74" s="954"/>
      <c r="R74" s="954"/>
      <c r="S74" s="954"/>
      <c r="T74" s="472"/>
      <c r="U74" s="473"/>
      <c r="V74" s="472"/>
      <c r="W74" s="472"/>
      <c r="X74" s="474"/>
      <c r="Y74" s="340"/>
      <c r="Z74" s="472"/>
      <c r="AA74" s="472"/>
      <c r="AB74" s="472"/>
      <c r="AC74" s="475"/>
      <c r="AD74" s="474"/>
      <c r="AE74" s="340"/>
      <c r="AF74" s="472"/>
      <c r="AG74" s="472"/>
      <c r="AH74" s="476"/>
      <c r="AI74" s="474"/>
      <c r="AJ74" s="429"/>
      <c r="AL74" s="333"/>
      <c r="AP74" s="338"/>
      <c r="AQ74" s="338"/>
      <c r="AR74" s="312">
        <f t="shared" si="48"/>
        <v>67</v>
      </c>
      <c r="AS74" s="1049" t="str">
        <f>AR74&amp;" "&amp;IF(AU74&lt;&gt;"-",【様式2】職員名簿!B103&amp;"/"&amp;AT74&amp;"/"&amp;AU74,"")</f>
        <v xml:space="preserve">67 </v>
      </c>
      <c r="AT74" s="1049">
        <f>【様式2】職員名簿!E103</f>
        <v>0</v>
      </c>
      <c r="AU74" s="1049" t="str">
        <f>IF(【様式2】職員名簿!J103="エラー","-",【様式2】職員名簿!J103)</f>
        <v>-</v>
      </c>
      <c r="AV74" s="430">
        <f>IF($AT74="常勤",$AM$2,IF($AT74="非常勤",【様式2】職員名簿!G103,0))</f>
        <v>0</v>
      </c>
      <c r="AW74" s="330">
        <f>IF($AU74=AW$3,COUNTIF($AU$8:$AU74,AW$3),0)</f>
        <v>0</v>
      </c>
      <c r="AX74" s="331" t="str">
        <f t="shared" si="70"/>
        <v/>
      </c>
      <c r="AY74" s="332">
        <f>IF($AU74=AY$3,COUNTIF($AU$8:$AU74,AY$3),0)</f>
        <v>0</v>
      </c>
      <c r="AZ74" s="331" t="str">
        <f t="shared" si="71"/>
        <v/>
      </c>
      <c r="BA74" s="332">
        <f>IF($AU74=BA$3,COUNTIFS($AU$8:$AU74,BA$3,$AT$8:$AT74,BA$4),0)</f>
        <v>0</v>
      </c>
      <c r="BB74" s="331" t="str">
        <f t="shared" si="72"/>
        <v/>
      </c>
      <c r="BC74" s="431">
        <f>IF($AU74=BC$3,COUNTIF($AU$8:$AU74,BC$3),0)</f>
        <v>0</v>
      </c>
      <c r="BD74" s="331" t="str">
        <f t="shared" si="73"/>
        <v/>
      </c>
      <c r="BE74" s="312">
        <f>IF(OR($AU74=BE$3,$AU74=BE$4),COUNTIF($AU$8:$AU74,BE$3)+COUNTIF($AU$8:$AU74,BE$4),0)</f>
        <v>0</v>
      </c>
      <c r="BF74" s="331" t="str">
        <f t="shared" si="74"/>
        <v/>
      </c>
      <c r="BG74" s="312">
        <f>IF($AU74=BG$3,COUNTIF($AU$8:$AU74,BG$3),0)</f>
        <v>0</v>
      </c>
      <c r="BH74" s="331" t="str">
        <f t="shared" si="75"/>
        <v/>
      </c>
      <c r="BI74" s="312">
        <f>IF($AU74&lt;&gt;BI$3,COUNTIF($AU$8:$AU74,"&lt;&gt;"&amp;BI$3),0)</f>
        <v>0</v>
      </c>
      <c r="BJ74" s="331" t="str">
        <f t="shared" si="76"/>
        <v/>
      </c>
      <c r="BK74" s="954"/>
      <c r="BL74" s="954"/>
    </row>
    <row r="75" spans="1:64" ht="15" customHeight="1">
      <c r="A75" s="2406" t="s">
        <v>1106</v>
      </c>
      <c r="B75" s="2407"/>
      <c r="C75" s="2408"/>
      <c r="D75" s="2435" t="s">
        <v>790</v>
      </c>
      <c r="E75" s="2436"/>
      <c r="F75" s="2234" t="s">
        <v>1099</v>
      </c>
      <c r="G75" s="2235"/>
      <c r="H75" s="2235"/>
      <c r="I75" s="2235"/>
      <c r="J75" s="2235"/>
      <c r="K75" s="2235"/>
      <c r="L75" s="2232" t="s">
        <v>803</v>
      </c>
      <c r="M75" s="2233"/>
      <c r="N75" s="2431"/>
      <c r="O75" s="2432"/>
      <c r="P75" s="322"/>
      <c r="Q75" s="954"/>
      <c r="R75" s="954"/>
      <c r="S75" s="954"/>
      <c r="T75" s="472"/>
      <c r="U75" s="473"/>
      <c r="V75" s="472"/>
      <c r="W75" s="472"/>
      <c r="X75" s="474"/>
      <c r="Y75" s="340"/>
      <c r="Z75" s="472"/>
      <c r="AA75" s="472"/>
      <c r="AB75" s="472"/>
      <c r="AC75" s="475"/>
      <c r="AD75" s="474"/>
      <c r="AE75" s="340"/>
      <c r="AF75" s="472"/>
      <c r="AG75" s="472"/>
      <c r="AH75" s="476"/>
      <c r="AI75" s="474"/>
      <c r="AJ75" s="429"/>
      <c r="AL75" s="310"/>
      <c r="AO75" s="338"/>
      <c r="AP75" s="338"/>
      <c r="AQ75" s="338"/>
      <c r="AR75" s="312">
        <f t="shared" si="48"/>
        <v>68</v>
      </c>
      <c r="AS75" s="1049" t="str">
        <f>AR75&amp;" "&amp;IF(AU75&lt;&gt;"-",【様式2】職員名簿!B104&amp;"/"&amp;AT75&amp;"/"&amp;AU75,"")</f>
        <v xml:space="preserve">68 </v>
      </c>
      <c r="AT75" s="1049">
        <f>【様式2】職員名簿!E104</f>
        <v>0</v>
      </c>
      <c r="AU75" s="1049" t="str">
        <f>IF(【様式2】職員名簿!J104="エラー","-",【様式2】職員名簿!J104)</f>
        <v>-</v>
      </c>
      <c r="AV75" s="430">
        <f>IF($AT75="常勤",$AM$2,IF($AT75="非常勤",【様式2】職員名簿!G104,0))</f>
        <v>0</v>
      </c>
      <c r="AW75" s="330">
        <f>IF($AU75=AW$3,COUNTIF($AU$8:$AU75,AW$3),0)</f>
        <v>0</v>
      </c>
      <c r="AX75" s="331" t="str">
        <f t="shared" si="70"/>
        <v/>
      </c>
      <c r="AY75" s="332">
        <f>IF($AU75=AY$3,COUNTIF($AU$8:$AU75,AY$3),0)</f>
        <v>0</v>
      </c>
      <c r="AZ75" s="331" t="str">
        <f t="shared" si="71"/>
        <v/>
      </c>
      <c r="BA75" s="332">
        <f>IF($AU75=BA$3,COUNTIFS($AU$8:$AU75,BA$3,$AT$8:$AT75,BA$4),0)</f>
        <v>0</v>
      </c>
      <c r="BB75" s="331" t="str">
        <f t="shared" si="72"/>
        <v/>
      </c>
      <c r="BC75" s="431">
        <f>IF($AU75=BC$3,COUNTIF($AU$8:$AU75,BC$3),0)</f>
        <v>0</v>
      </c>
      <c r="BD75" s="331" t="str">
        <f t="shared" si="73"/>
        <v/>
      </c>
      <c r="BE75" s="312">
        <f>IF(OR($AU75=BE$3,$AU75=BE$4),COUNTIF($AU$8:$AU75,BE$3)+COUNTIF($AU$8:$AU75,BE$4),0)</f>
        <v>0</v>
      </c>
      <c r="BF75" s="331" t="str">
        <f t="shared" si="74"/>
        <v/>
      </c>
      <c r="BG75" s="312">
        <f>IF($AU75=BG$3,COUNTIF($AU$8:$AU75,BG$3),0)</f>
        <v>0</v>
      </c>
      <c r="BH75" s="331" t="str">
        <f t="shared" si="75"/>
        <v/>
      </c>
      <c r="BI75" s="312">
        <f>IF($AU75&lt;&gt;BI$3,COUNTIF($AU$8:$AU75,"&lt;&gt;"&amp;BI$3),0)</f>
        <v>0</v>
      </c>
      <c r="BJ75" s="331" t="str">
        <f t="shared" si="76"/>
        <v/>
      </c>
      <c r="BK75" s="954"/>
      <c r="BL75" s="954"/>
    </row>
    <row r="76" spans="1:64" ht="15" customHeight="1" thickBot="1">
      <c r="A76" s="2409"/>
      <c r="B76" s="2410"/>
      <c r="C76" s="2411"/>
      <c r="D76" s="2437"/>
      <c r="E76" s="2438"/>
      <c r="F76" s="2439" t="s">
        <v>872</v>
      </c>
      <c r="G76" s="2439"/>
      <c r="H76" s="2439"/>
      <c r="I76" s="342" t="s">
        <v>1101</v>
      </c>
      <c r="J76" s="964" t="s">
        <v>1087</v>
      </c>
      <c r="K76" s="868" t="s">
        <v>1100</v>
      </c>
      <c r="L76" s="2314"/>
      <c r="M76" s="2315"/>
      <c r="N76" s="2433"/>
      <c r="O76" s="2434"/>
      <c r="P76" s="322"/>
      <c r="Q76" s="954"/>
      <c r="R76" s="954"/>
      <c r="S76" s="954"/>
      <c r="T76" s="472"/>
      <c r="U76" s="473"/>
      <c r="V76" s="472"/>
      <c r="W76" s="472"/>
      <c r="X76" s="474"/>
      <c r="Y76" s="340"/>
      <c r="Z76" s="472"/>
      <c r="AA76" s="472"/>
      <c r="AB76" s="472"/>
      <c r="AC76" s="475"/>
      <c r="AD76" s="474"/>
      <c r="AE76" s="340"/>
      <c r="AF76" s="472"/>
      <c r="AG76" s="472"/>
      <c r="AH76" s="476"/>
      <c r="AI76" s="474"/>
      <c r="AJ76" s="429"/>
      <c r="AL76" s="310"/>
      <c r="AM76" s="310"/>
      <c r="AO76" s="338"/>
      <c r="AP76" s="338"/>
      <c r="AQ76" s="338"/>
      <c r="AR76" s="312">
        <f t="shared" ref="AR76:AR111" si="103">ROW()-ROW($AR$7)</f>
        <v>69</v>
      </c>
      <c r="AS76" s="1049" t="str">
        <f>AR76&amp;" "&amp;IF(AU76&lt;&gt;"-",【様式2】職員名簿!B105&amp;"/"&amp;AT76&amp;"/"&amp;AU76,"")</f>
        <v xml:space="preserve">69 </v>
      </c>
      <c r="AT76" s="1049">
        <f>【様式2】職員名簿!E105</f>
        <v>0</v>
      </c>
      <c r="AU76" s="1049" t="str">
        <f>IF(【様式2】職員名簿!J105="エラー","-",【様式2】職員名簿!J105)</f>
        <v>-</v>
      </c>
      <c r="AV76" s="430">
        <f>IF($AT76="常勤",$AM$2,IF($AT76="非常勤",【様式2】職員名簿!G105,0))</f>
        <v>0</v>
      </c>
      <c r="AW76" s="330">
        <f>IF($AU76=AW$3,COUNTIF($AU$8:$AU76,AW$3),0)</f>
        <v>0</v>
      </c>
      <c r="AX76" s="331" t="str">
        <f t="shared" si="70"/>
        <v/>
      </c>
      <c r="AY76" s="332">
        <f>IF($AU76=AY$3,COUNTIF($AU$8:$AU76,AY$3),0)</f>
        <v>0</v>
      </c>
      <c r="AZ76" s="331" t="str">
        <f t="shared" si="71"/>
        <v/>
      </c>
      <c r="BA76" s="332">
        <f>IF($AU76=BA$3,COUNTIFS($AU$8:$AU76,BA$3,$AT$8:$AT76,BA$4),0)</f>
        <v>0</v>
      </c>
      <c r="BB76" s="331" t="str">
        <f t="shared" si="72"/>
        <v/>
      </c>
      <c r="BC76" s="431">
        <f>IF($AU76=BC$3,COUNTIF($AU$8:$AU76,BC$3),0)</f>
        <v>0</v>
      </c>
      <c r="BD76" s="331" t="str">
        <f t="shared" si="73"/>
        <v/>
      </c>
      <c r="BE76" s="312">
        <f>IF(OR($AU76=BE$3,$AU76=BE$4),COUNTIF($AU$8:$AU76,BE$3)+COUNTIF($AU$8:$AU76,BE$4),0)</f>
        <v>0</v>
      </c>
      <c r="BF76" s="331" t="str">
        <f t="shared" si="74"/>
        <v/>
      </c>
      <c r="BG76" s="312">
        <f>IF($AU76=BG$3,COUNTIF($AU$8:$AU76,BG$3),0)</f>
        <v>0</v>
      </c>
      <c r="BH76" s="331" t="str">
        <f t="shared" si="75"/>
        <v/>
      </c>
      <c r="BI76" s="312">
        <f>IF($AU76&lt;&gt;BI$3,COUNTIF($AU$8:$AU76,"&lt;&gt;"&amp;BI$3),0)</f>
        <v>0</v>
      </c>
      <c r="BJ76" s="331" t="str">
        <f t="shared" si="76"/>
        <v/>
      </c>
      <c r="BK76" s="954"/>
      <c r="BL76" s="954"/>
    </row>
    <row r="77" spans="1:64" ht="15" customHeight="1">
      <c r="A77" s="2672" t="s">
        <v>1016</v>
      </c>
      <c r="B77" s="2673" t="s">
        <v>1082</v>
      </c>
      <c r="C77" s="2674"/>
      <c r="D77" s="2330" t="str">
        <f>T77</f>
        <v>保育士</v>
      </c>
      <c r="E77" s="2331"/>
      <c r="F77" s="2332"/>
      <c r="G77" s="2333"/>
      <c r="H77" s="2333"/>
      <c r="I77" s="864" t="str">
        <f t="shared" ref="I77:I123" si="104">IF(OR(NOT(W77),U77=0),"",U77)</f>
        <v/>
      </c>
      <c r="J77" s="831" t="str">
        <f>IF(OR(F77=0,F77=""),"",IF(W77,IF(X77,IF(OR(Y77,V77=3),IF(AD77,IF(OR(AE77,V77=2,V77=3),"○","要常勤"),"時間無"),"重複"),"名簿無"),"対象外"))</f>
        <v/>
      </c>
      <c r="K77" s="1180"/>
      <c r="L77" s="900" t="str">
        <f t="shared" ref="L77:L120" si="105">IF(AI77=1,"調整①→",IF(AI77=5,"調整②→",IF(AI77=2,"",IF(AI77=3,"全計上→","エラー"))))</f>
        <v/>
      </c>
      <c r="M77" s="575">
        <f t="shared" ref="M77:M123" si="106">IF(OR(AND(J77&lt;&gt;"",J77&lt;&gt;"○"),AI77=4),"×",IF(J77="",0,AJ77/$AM$2))</f>
        <v>0</v>
      </c>
      <c r="N77" s="2617">
        <f>SUM(M77:M84)</f>
        <v>0</v>
      </c>
      <c r="O77" s="2618"/>
      <c r="P77" s="322"/>
      <c r="Q77" s="954"/>
      <c r="R77" s="954"/>
      <c r="S77" s="954"/>
      <c r="T77" s="465" t="str">
        <f t="shared" ref="T77:T84" si="107">$AZ$6</f>
        <v>保育士</v>
      </c>
      <c r="U77" s="970">
        <f t="shared" ref="U77:U122" si="108">IFERROR(VLOOKUP($F77,$AS$8:$AV$111,4,FALSE),0)</f>
        <v>0</v>
      </c>
      <c r="V77" s="968">
        <v>2</v>
      </c>
      <c r="W77" s="968" t="b">
        <f>ISTEXT(F77)</f>
        <v>0</v>
      </c>
      <c r="X77" s="463" t="b">
        <f t="shared" ref="X77:X123" ca="1" si="109">COUNTIF(INDIRECT(T77),F77)&gt;0</f>
        <v>0</v>
      </c>
      <c r="Y77" s="477" t="b">
        <f>COUNTIF($AC$25:AC76,AC77)+COUNTIF(AC78:$AC$124,AC77)-COUNTIF(Z77:AB77,AC77)=0</f>
        <v>0</v>
      </c>
      <c r="Z77" s="478" t="s">
        <v>874</v>
      </c>
      <c r="AA77" s="478" t="s">
        <v>874</v>
      </c>
      <c r="AB77" s="478" t="s">
        <v>874</v>
      </c>
      <c r="AC77" s="971">
        <f t="shared" ref="AC77:AC122" si="110">IF(V77=3,0,IFERROR(INDEX($AR$8:$AR$111,MATCH($F77,AS$8:AS$111,0),1),0))</f>
        <v>0</v>
      </c>
      <c r="AD77" s="463" t="b">
        <f t="shared" ref="AD77:AD123" si="111">U77&gt;0</f>
        <v>0</v>
      </c>
      <c r="AE77" s="425" t="b">
        <f t="shared" ref="AE77:AE122" si="112">IFERROR(VLOOKUP($F77,$AS$8:$AV$111,2,FALSE),"")="常勤"</f>
        <v>0</v>
      </c>
      <c r="AF77" s="968" t="str">
        <f t="shared" ref="AF77:AF122" si="113">IFERROR(VLOOKUP($F77,$AS$8:$AV$111,3,FALSE),"")</f>
        <v/>
      </c>
      <c r="AG77" s="478">
        <f t="shared" ref="AG77:AG123" si="114">M77</f>
        <v>0</v>
      </c>
      <c r="AH77" s="465">
        <v>2</v>
      </c>
      <c r="AI77" s="431">
        <f t="shared" ref="AI77:AI122" si="115">IF(AND($W77,$J77="○"),IF($K77="-",IF($U77&lt;IF($AH77=5,$AL$4,$AL$3),$AH77,2),IF($K77=0,IF($U77&lt;IF($AH77=5,$AL$4,$AL$3),IF(OR($AH77=1,$AH77=5),$AH77,3),3),IF(K77&lt;IF($AH77=5,$AL$4,$AL$3),$AH77,IF($K77&gt;$U77,4,2)))),2)</f>
        <v>2</v>
      </c>
      <c r="AJ77" s="336">
        <f t="shared" ref="AJ77:AJ123" si="116">IF(AI77=1,$AL$3,IF(AI77=5,$AL$4,IF(AI77=2,IF(K77="-",U77,K77),IF(AI77=3,U77,"×"))))</f>
        <v>0</v>
      </c>
      <c r="AL77" s="310"/>
      <c r="AM77" s="310"/>
      <c r="AO77" s="338"/>
      <c r="AP77" s="338"/>
      <c r="AQ77" s="338"/>
      <c r="AR77" s="312">
        <f t="shared" si="103"/>
        <v>70</v>
      </c>
      <c r="AS77" s="1049" t="str">
        <f>AR77&amp;" "&amp;IF(AU77&lt;&gt;"-",【様式2】職員名簿!B106&amp;"/"&amp;AT77&amp;"/"&amp;AU77,"")</f>
        <v xml:space="preserve">70 </v>
      </c>
      <c r="AT77" s="1049">
        <f>【様式2】職員名簿!E106</f>
        <v>0</v>
      </c>
      <c r="AU77" s="1049" t="str">
        <f>IF(【様式2】職員名簿!J106="エラー","-",【様式2】職員名簿!J106)</f>
        <v>-</v>
      </c>
      <c r="AV77" s="430">
        <f>IF($AT77="常勤",$AM$2,IF($AT77="非常勤",【様式2】職員名簿!G106,0))</f>
        <v>0</v>
      </c>
      <c r="AW77" s="330">
        <f>IF($AU77=AW$3,COUNTIF($AU$8:$AU77,AW$3),0)</f>
        <v>0</v>
      </c>
      <c r="AX77" s="331" t="str">
        <f t="shared" si="70"/>
        <v/>
      </c>
      <c r="AY77" s="332">
        <f>IF($AU77=AY$3,COUNTIF($AU$8:$AU77,AY$3),0)</f>
        <v>0</v>
      </c>
      <c r="AZ77" s="331" t="str">
        <f t="shared" si="71"/>
        <v/>
      </c>
      <c r="BA77" s="332">
        <f>IF($AU77=BA$3,COUNTIFS($AU$8:$AU77,BA$3,$AT$8:$AT77,BA$4),0)</f>
        <v>0</v>
      </c>
      <c r="BB77" s="331" t="str">
        <f t="shared" si="72"/>
        <v/>
      </c>
      <c r="BC77" s="431">
        <f>IF($AU77=BC$3,COUNTIF($AU$8:$AU77,BC$3),0)</f>
        <v>0</v>
      </c>
      <c r="BD77" s="331" t="str">
        <f t="shared" si="73"/>
        <v/>
      </c>
      <c r="BE77" s="312">
        <f>IF(OR($AU77=BE$3,$AU77=BE$4),COUNTIF($AU$8:$AU77,BE$3)+COUNTIF($AU$8:$AU77,BE$4),0)</f>
        <v>0</v>
      </c>
      <c r="BF77" s="331" t="str">
        <f t="shared" si="74"/>
        <v/>
      </c>
      <c r="BG77" s="312">
        <f>IF($AU77=BG$3,COUNTIF($AU$8:$AU77,BG$3),0)</f>
        <v>0</v>
      </c>
      <c r="BH77" s="331" t="str">
        <f t="shared" si="75"/>
        <v/>
      </c>
      <c r="BI77" s="312">
        <f>IF($AU77&lt;&gt;BI$3,COUNTIF($AU$8:$AU77,"&lt;&gt;"&amp;BI$3),0)</f>
        <v>0</v>
      </c>
      <c r="BJ77" s="331" t="str">
        <f t="shared" si="76"/>
        <v/>
      </c>
      <c r="BK77" s="954"/>
      <c r="BL77" s="954"/>
    </row>
    <row r="78" spans="1:64" ht="15" customHeight="1">
      <c r="A78" s="1414"/>
      <c r="B78" s="2658"/>
      <c r="C78" s="2659"/>
      <c r="D78" s="2261" t="str">
        <f t="shared" ref="D78:D122" si="117">T78</f>
        <v>保育士</v>
      </c>
      <c r="E78" s="2262"/>
      <c r="F78" s="2268"/>
      <c r="G78" s="2278"/>
      <c r="H78" s="2278"/>
      <c r="I78" s="837" t="str">
        <f t="shared" si="104"/>
        <v/>
      </c>
      <c r="J78" s="984" t="str">
        <f t="shared" ref="J78:J122" si="118">IF(OR(F78=0,F78=""),"",IF(W78,IF(X78,IF(OR(Y78,V78=3),IF(AD78,IF(OR(AE78,V78=2,V78=3),"○","要常勤"),"時間無"),"重複"),"名簿無"),"対象外"))</f>
        <v/>
      </c>
      <c r="K78" s="1181"/>
      <c r="L78" s="859" t="str">
        <f t="shared" si="105"/>
        <v/>
      </c>
      <c r="M78" s="576">
        <f t="shared" si="106"/>
        <v>0</v>
      </c>
      <c r="N78" s="2619"/>
      <c r="O78" s="2620"/>
      <c r="P78" s="322"/>
      <c r="Q78" s="954"/>
      <c r="R78" s="954"/>
      <c r="S78" s="954"/>
      <c r="T78" s="465" t="str">
        <f t="shared" si="107"/>
        <v>保育士</v>
      </c>
      <c r="U78" s="970">
        <f t="shared" si="108"/>
        <v>0</v>
      </c>
      <c r="V78" s="968">
        <v>2</v>
      </c>
      <c r="W78" s="968" t="b">
        <f>ISTEXT(F78)</f>
        <v>0</v>
      </c>
      <c r="X78" s="463" t="b">
        <f ca="1">COUNTIF(INDIRECT(T78),F78)&gt;0</f>
        <v>0</v>
      </c>
      <c r="Y78" s="477" t="b">
        <f>COUNTIF($AC$25:AC77,AC78)+COUNTIF(AC79:$AC$124,AC78)-COUNTIF(Z78:AB78,AC78)=0</f>
        <v>0</v>
      </c>
      <c r="Z78" s="478" t="s">
        <v>874</v>
      </c>
      <c r="AA78" s="478" t="s">
        <v>874</v>
      </c>
      <c r="AB78" s="478" t="s">
        <v>874</v>
      </c>
      <c r="AC78" s="971">
        <f t="shared" si="110"/>
        <v>0</v>
      </c>
      <c r="AD78" s="463" t="b">
        <f t="shared" ref="AD78:AD122" si="119">U78&gt;0</f>
        <v>0</v>
      </c>
      <c r="AE78" s="425" t="b">
        <f t="shared" si="112"/>
        <v>0</v>
      </c>
      <c r="AF78" s="968" t="str">
        <f t="shared" si="113"/>
        <v/>
      </c>
      <c r="AG78" s="478">
        <f t="shared" ref="AG78:AG122" si="120">M78</f>
        <v>0</v>
      </c>
      <c r="AH78" s="465">
        <v>2</v>
      </c>
      <c r="AI78" s="431">
        <f t="shared" si="115"/>
        <v>2</v>
      </c>
      <c r="AJ78" s="336">
        <f t="shared" si="116"/>
        <v>0</v>
      </c>
      <c r="AL78" s="310"/>
      <c r="AM78" s="310"/>
      <c r="AN78" s="310"/>
      <c r="AO78" s="338"/>
      <c r="AP78" s="338"/>
      <c r="AQ78" s="338"/>
      <c r="AR78" s="312">
        <f t="shared" si="103"/>
        <v>71</v>
      </c>
      <c r="AS78" s="1049" t="str">
        <f>AR78&amp;" "&amp;IF(AU78&lt;&gt;"-",【様式2】職員名簿!B107&amp;"/"&amp;AT78&amp;"/"&amp;AU78,"")</f>
        <v xml:space="preserve">71 </v>
      </c>
      <c r="AT78" s="1049">
        <f>【様式2】職員名簿!E107</f>
        <v>0</v>
      </c>
      <c r="AU78" s="1049" t="str">
        <f>IF(【様式2】職員名簿!J107="エラー","-",【様式2】職員名簿!J107)</f>
        <v>-</v>
      </c>
      <c r="AV78" s="430">
        <f>IF($AT78="常勤",$AM$2,IF($AT78="非常勤",【様式2】職員名簿!G107,0))</f>
        <v>0</v>
      </c>
      <c r="AW78" s="330">
        <f>IF($AU78=AW$3,COUNTIF($AU$8:$AU78,AW$3),0)</f>
        <v>0</v>
      </c>
      <c r="AX78" s="331" t="str">
        <f t="shared" si="70"/>
        <v/>
      </c>
      <c r="AY78" s="332">
        <f>IF($AU78=AY$3,COUNTIF($AU$8:$AU78,AY$3),0)</f>
        <v>0</v>
      </c>
      <c r="AZ78" s="331" t="str">
        <f t="shared" si="71"/>
        <v/>
      </c>
      <c r="BA78" s="332">
        <f>IF($AU78=BA$3,COUNTIFS($AU$8:$AU78,BA$3,$AT$8:$AT78,BA$4),0)</f>
        <v>0</v>
      </c>
      <c r="BB78" s="331" t="str">
        <f t="shared" si="72"/>
        <v/>
      </c>
      <c r="BC78" s="431">
        <f>IF($AU78=BC$3,COUNTIF($AU$8:$AU78,BC$3),0)</f>
        <v>0</v>
      </c>
      <c r="BD78" s="331" t="str">
        <f t="shared" si="73"/>
        <v/>
      </c>
      <c r="BE78" s="312">
        <f>IF(OR($AU78=BE$3,$AU78=BE$4),COUNTIF($AU$8:$AU78,BE$3)+COUNTIF($AU$8:$AU78,BE$4),0)</f>
        <v>0</v>
      </c>
      <c r="BF78" s="331" t="str">
        <f t="shared" si="74"/>
        <v/>
      </c>
      <c r="BG78" s="312">
        <f>IF($AU78=BG$3,COUNTIF($AU$8:$AU78,BG$3),0)</f>
        <v>0</v>
      </c>
      <c r="BH78" s="331" t="str">
        <f t="shared" si="75"/>
        <v/>
      </c>
      <c r="BI78" s="312">
        <f>IF($AU78&lt;&gt;BI$3,COUNTIF($AU$8:$AU78,"&lt;&gt;"&amp;BI$3),0)</f>
        <v>0</v>
      </c>
      <c r="BJ78" s="331" t="str">
        <f t="shared" si="76"/>
        <v/>
      </c>
      <c r="BK78" s="954"/>
      <c r="BL78" s="954"/>
    </row>
    <row r="79" spans="1:64" ht="15" customHeight="1">
      <c r="A79" s="1414"/>
      <c r="B79" s="2658"/>
      <c r="C79" s="2659"/>
      <c r="D79" s="2261" t="str">
        <f t="shared" si="117"/>
        <v>保育士</v>
      </c>
      <c r="E79" s="2262"/>
      <c r="F79" s="2268"/>
      <c r="G79" s="2278"/>
      <c r="H79" s="2278"/>
      <c r="I79" s="837" t="str">
        <f t="shared" si="104"/>
        <v/>
      </c>
      <c r="J79" s="984" t="str">
        <f t="shared" si="118"/>
        <v/>
      </c>
      <c r="K79" s="1181"/>
      <c r="L79" s="859" t="str">
        <f t="shared" si="105"/>
        <v/>
      </c>
      <c r="M79" s="576">
        <f t="shared" si="106"/>
        <v>0</v>
      </c>
      <c r="N79" s="2619"/>
      <c r="O79" s="2620"/>
      <c r="P79" s="322"/>
      <c r="Q79" s="954"/>
      <c r="R79" s="954"/>
      <c r="S79" s="954"/>
      <c r="T79" s="465" t="str">
        <f t="shared" si="107"/>
        <v>保育士</v>
      </c>
      <c r="U79" s="970">
        <f t="shared" si="108"/>
        <v>0</v>
      </c>
      <c r="V79" s="968">
        <v>2</v>
      </c>
      <c r="W79" s="968" t="b">
        <f t="shared" ref="W79:W122" si="121">ISTEXT(F79)</f>
        <v>0</v>
      </c>
      <c r="X79" s="463" t="b">
        <f t="shared" ref="X79:X122" ca="1" si="122">COUNTIF(INDIRECT(T79),F79)&gt;0</f>
        <v>0</v>
      </c>
      <c r="Y79" s="477" t="b">
        <f>COUNTIF($AC$25:AC78,AC79)+COUNTIF(AC80:$AC$124,AC79)-COUNTIF(Z79:AB79,AC79)=0</f>
        <v>0</v>
      </c>
      <c r="Z79" s="478" t="s">
        <v>874</v>
      </c>
      <c r="AA79" s="478" t="s">
        <v>874</v>
      </c>
      <c r="AB79" s="478" t="s">
        <v>874</v>
      </c>
      <c r="AC79" s="971">
        <f t="shared" si="110"/>
        <v>0</v>
      </c>
      <c r="AD79" s="463" t="b">
        <f t="shared" si="119"/>
        <v>0</v>
      </c>
      <c r="AE79" s="425" t="b">
        <f t="shared" si="112"/>
        <v>0</v>
      </c>
      <c r="AF79" s="968" t="str">
        <f t="shared" si="113"/>
        <v/>
      </c>
      <c r="AG79" s="478">
        <f t="shared" si="120"/>
        <v>0</v>
      </c>
      <c r="AH79" s="465">
        <v>2</v>
      </c>
      <c r="AI79" s="431">
        <f t="shared" si="115"/>
        <v>2</v>
      </c>
      <c r="AJ79" s="336">
        <f t="shared" si="116"/>
        <v>0</v>
      </c>
      <c r="AM79" s="310"/>
      <c r="AN79" s="310"/>
      <c r="AO79" s="338"/>
      <c r="AP79" s="338"/>
      <c r="AQ79" s="338"/>
      <c r="AR79" s="312">
        <f t="shared" si="103"/>
        <v>72</v>
      </c>
      <c r="AS79" s="1049" t="str">
        <f>AR79&amp;" "&amp;IF(AU79&lt;&gt;"-",【様式2】職員名簿!B108&amp;"/"&amp;AT79&amp;"/"&amp;AU79,"")</f>
        <v xml:space="preserve">72 </v>
      </c>
      <c r="AT79" s="1049">
        <f>【様式2】職員名簿!E108</f>
        <v>0</v>
      </c>
      <c r="AU79" s="1049" t="str">
        <f>IF(【様式2】職員名簿!J108="エラー","-",【様式2】職員名簿!J108)</f>
        <v>-</v>
      </c>
      <c r="AV79" s="430">
        <f>IF($AT79="常勤",$AM$2,IF($AT79="非常勤",【様式2】職員名簿!G108,0))</f>
        <v>0</v>
      </c>
      <c r="AW79" s="330">
        <f>IF($AU79=AW$3,COUNTIF($AU$8:$AU79,AW$3),0)</f>
        <v>0</v>
      </c>
      <c r="AX79" s="331" t="str">
        <f t="shared" si="70"/>
        <v/>
      </c>
      <c r="AY79" s="332">
        <f>IF($AU79=AY$3,COUNTIF($AU$8:$AU79,AY$3),0)</f>
        <v>0</v>
      </c>
      <c r="AZ79" s="331" t="str">
        <f t="shared" si="71"/>
        <v/>
      </c>
      <c r="BA79" s="332">
        <f>IF($AU79=BA$3,COUNTIFS($AU$8:$AU79,BA$3,$AT$8:$AT79,BA$4),0)</f>
        <v>0</v>
      </c>
      <c r="BB79" s="331" t="str">
        <f t="shared" si="72"/>
        <v/>
      </c>
      <c r="BC79" s="431">
        <f>IF($AU79=BC$3,COUNTIF($AU$8:$AU79,BC$3),0)</f>
        <v>0</v>
      </c>
      <c r="BD79" s="331" t="str">
        <f t="shared" si="73"/>
        <v/>
      </c>
      <c r="BE79" s="312">
        <f>IF(OR($AU79=BE$3,$AU79=BE$4),COUNTIF($AU$8:$AU79,BE$3)+COUNTIF($AU$8:$AU79,BE$4),0)</f>
        <v>0</v>
      </c>
      <c r="BF79" s="331" t="str">
        <f t="shared" si="74"/>
        <v/>
      </c>
      <c r="BG79" s="312">
        <f>IF($AU79=BG$3,COUNTIF($AU$8:$AU79,BG$3),0)</f>
        <v>0</v>
      </c>
      <c r="BH79" s="331" t="str">
        <f t="shared" si="75"/>
        <v/>
      </c>
      <c r="BI79" s="312">
        <f>IF($AU79&lt;&gt;BI$3,COUNTIF($AU$8:$AU79,"&lt;&gt;"&amp;BI$3),0)</f>
        <v>0</v>
      </c>
      <c r="BJ79" s="331" t="str">
        <f t="shared" si="76"/>
        <v/>
      </c>
      <c r="BK79" s="954"/>
      <c r="BL79" s="954"/>
    </row>
    <row r="80" spans="1:64" ht="15" customHeight="1">
      <c r="A80" s="1414"/>
      <c r="B80" s="2658"/>
      <c r="C80" s="2659"/>
      <c r="D80" s="2261" t="str">
        <f t="shared" si="117"/>
        <v>保育士</v>
      </c>
      <c r="E80" s="2262"/>
      <c r="F80" s="2268"/>
      <c r="G80" s="2278"/>
      <c r="H80" s="2278"/>
      <c r="I80" s="837" t="str">
        <f t="shared" si="104"/>
        <v/>
      </c>
      <c r="J80" s="984" t="str">
        <f t="shared" si="118"/>
        <v/>
      </c>
      <c r="K80" s="1181"/>
      <c r="L80" s="859" t="str">
        <f t="shared" si="105"/>
        <v/>
      </c>
      <c r="M80" s="576">
        <f t="shared" si="106"/>
        <v>0</v>
      </c>
      <c r="N80" s="2619"/>
      <c r="O80" s="2620"/>
      <c r="P80" s="322"/>
      <c r="Q80" s="954"/>
      <c r="R80" s="954"/>
      <c r="S80" s="954"/>
      <c r="T80" s="465" t="str">
        <f t="shared" si="107"/>
        <v>保育士</v>
      </c>
      <c r="U80" s="970">
        <f t="shared" si="108"/>
        <v>0</v>
      </c>
      <c r="V80" s="968">
        <v>2</v>
      </c>
      <c r="W80" s="968" t="b">
        <f t="shared" si="121"/>
        <v>0</v>
      </c>
      <c r="X80" s="463" t="b">
        <f t="shared" ca="1" si="122"/>
        <v>0</v>
      </c>
      <c r="Y80" s="477" t="b">
        <f>COUNTIF($AC$25:AC79,AC80)+COUNTIF(AC81:$AC$124,AC80)-COUNTIF(Z80:AB80,AC80)=0</f>
        <v>0</v>
      </c>
      <c r="Z80" s="478" t="s">
        <v>874</v>
      </c>
      <c r="AA80" s="478" t="s">
        <v>874</v>
      </c>
      <c r="AB80" s="478" t="s">
        <v>874</v>
      </c>
      <c r="AC80" s="971">
        <f t="shared" si="110"/>
        <v>0</v>
      </c>
      <c r="AD80" s="463" t="b">
        <f t="shared" si="119"/>
        <v>0</v>
      </c>
      <c r="AE80" s="425" t="b">
        <f t="shared" si="112"/>
        <v>0</v>
      </c>
      <c r="AF80" s="968" t="str">
        <f t="shared" si="113"/>
        <v/>
      </c>
      <c r="AG80" s="478">
        <f t="shared" si="120"/>
        <v>0</v>
      </c>
      <c r="AH80" s="465">
        <v>2</v>
      </c>
      <c r="AI80" s="431">
        <f t="shared" si="115"/>
        <v>2</v>
      </c>
      <c r="AJ80" s="336">
        <f t="shared" si="116"/>
        <v>0</v>
      </c>
      <c r="AM80" s="341"/>
      <c r="AN80" s="310"/>
      <c r="AO80" s="338"/>
      <c r="AP80" s="338"/>
      <c r="AQ80" s="338"/>
      <c r="AR80" s="312">
        <f t="shared" si="103"/>
        <v>73</v>
      </c>
      <c r="AS80" s="1049" t="str">
        <f>AR80&amp;" "&amp;IF(AU80&lt;&gt;"-",【様式2】職員名簿!B109&amp;"/"&amp;AT80&amp;"/"&amp;AU80,"")</f>
        <v xml:space="preserve">73 </v>
      </c>
      <c r="AT80" s="1049">
        <f>【様式2】職員名簿!E109</f>
        <v>0</v>
      </c>
      <c r="AU80" s="1049" t="str">
        <f>IF(【様式2】職員名簿!J109="エラー","-",【様式2】職員名簿!J109)</f>
        <v>-</v>
      </c>
      <c r="AV80" s="430">
        <f>IF($AT80="常勤",$AM$2,IF($AT80="非常勤",【様式2】職員名簿!G109,0))</f>
        <v>0</v>
      </c>
      <c r="AW80" s="330">
        <f>IF($AU80=AW$3,COUNTIF($AU$8:$AU80,AW$3),0)</f>
        <v>0</v>
      </c>
      <c r="AX80" s="331" t="str">
        <f t="shared" si="70"/>
        <v/>
      </c>
      <c r="AY80" s="332">
        <f>IF($AU80=AY$3,COUNTIF($AU$8:$AU80,AY$3),0)</f>
        <v>0</v>
      </c>
      <c r="AZ80" s="331" t="str">
        <f t="shared" si="71"/>
        <v/>
      </c>
      <c r="BA80" s="332">
        <f>IF($AU80=BA$3,COUNTIFS($AU$8:$AU80,BA$3,$AT$8:$AT80,BA$4),0)</f>
        <v>0</v>
      </c>
      <c r="BB80" s="331" t="str">
        <f t="shared" si="72"/>
        <v/>
      </c>
      <c r="BC80" s="431">
        <f>IF($AU80=BC$3,COUNTIF($AU$8:$AU80,BC$3),0)</f>
        <v>0</v>
      </c>
      <c r="BD80" s="331" t="str">
        <f t="shared" si="73"/>
        <v/>
      </c>
      <c r="BE80" s="312">
        <f>IF(OR($AU80=BE$3,$AU80=BE$4),COUNTIF($AU$8:$AU80,BE$3)+COUNTIF($AU$8:$AU80,BE$4),0)</f>
        <v>0</v>
      </c>
      <c r="BF80" s="331" t="str">
        <f t="shared" si="74"/>
        <v/>
      </c>
      <c r="BG80" s="312">
        <f>IF($AU80=BG$3,COUNTIF($AU$8:$AU80,BG$3),0)</f>
        <v>0</v>
      </c>
      <c r="BH80" s="331" t="str">
        <f t="shared" si="75"/>
        <v/>
      </c>
      <c r="BI80" s="312">
        <f>IF($AU80&lt;&gt;BI$3,COUNTIF($AU$8:$AU80,"&lt;&gt;"&amp;BI$3),0)</f>
        <v>0</v>
      </c>
      <c r="BJ80" s="331" t="str">
        <f t="shared" si="76"/>
        <v/>
      </c>
      <c r="BK80" s="954"/>
      <c r="BL80" s="954"/>
    </row>
    <row r="81" spans="1:64" ht="15" customHeight="1">
      <c r="A81" s="1414"/>
      <c r="B81" s="2658"/>
      <c r="C81" s="2659"/>
      <c r="D81" s="2261" t="str">
        <f t="shared" si="117"/>
        <v>保育士</v>
      </c>
      <c r="E81" s="2262"/>
      <c r="F81" s="2268"/>
      <c r="G81" s="2278"/>
      <c r="H81" s="2278"/>
      <c r="I81" s="837" t="str">
        <f t="shared" si="104"/>
        <v/>
      </c>
      <c r="J81" s="984" t="str">
        <f t="shared" si="118"/>
        <v/>
      </c>
      <c r="K81" s="1181"/>
      <c r="L81" s="859" t="str">
        <f t="shared" si="105"/>
        <v/>
      </c>
      <c r="M81" s="576">
        <f t="shared" si="106"/>
        <v>0</v>
      </c>
      <c r="N81" s="2619"/>
      <c r="O81" s="2620"/>
      <c r="P81" s="322"/>
      <c r="Q81" s="954"/>
      <c r="R81" s="954"/>
      <c r="S81" s="954"/>
      <c r="T81" s="465" t="str">
        <f t="shared" si="107"/>
        <v>保育士</v>
      </c>
      <c r="U81" s="970">
        <f t="shared" si="108"/>
        <v>0</v>
      </c>
      <c r="V81" s="968">
        <v>2</v>
      </c>
      <c r="W81" s="968" t="b">
        <f t="shared" si="121"/>
        <v>0</v>
      </c>
      <c r="X81" s="463" t="b">
        <f t="shared" ca="1" si="122"/>
        <v>0</v>
      </c>
      <c r="Y81" s="477" t="b">
        <f>COUNTIF($AC$25:AC80,AC81)+COUNTIF(AC82:$AC$124,AC81)-COUNTIF(Z81:AB81,AC81)=0</f>
        <v>0</v>
      </c>
      <c r="Z81" s="478" t="s">
        <v>874</v>
      </c>
      <c r="AA81" s="478" t="s">
        <v>874</v>
      </c>
      <c r="AB81" s="478" t="s">
        <v>874</v>
      </c>
      <c r="AC81" s="971">
        <f t="shared" si="110"/>
        <v>0</v>
      </c>
      <c r="AD81" s="463" t="b">
        <f t="shared" si="119"/>
        <v>0</v>
      </c>
      <c r="AE81" s="425" t="b">
        <f t="shared" si="112"/>
        <v>0</v>
      </c>
      <c r="AF81" s="968" t="str">
        <f t="shared" si="113"/>
        <v/>
      </c>
      <c r="AG81" s="478">
        <f t="shared" si="120"/>
        <v>0</v>
      </c>
      <c r="AH81" s="465">
        <v>2</v>
      </c>
      <c r="AI81" s="431">
        <f t="shared" si="115"/>
        <v>2</v>
      </c>
      <c r="AJ81" s="336">
        <f t="shared" si="116"/>
        <v>0</v>
      </c>
      <c r="AM81" s="341"/>
      <c r="AN81" s="310"/>
      <c r="AO81" s="338"/>
      <c r="AP81" s="338"/>
      <c r="AQ81" s="338"/>
      <c r="AR81" s="312">
        <f t="shared" si="103"/>
        <v>74</v>
      </c>
      <c r="AS81" s="1049" t="str">
        <f>AR81&amp;" "&amp;IF(AU81&lt;&gt;"-",【様式2】職員名簿!B110&amp;"/"&amp;AT81&amp;"/"&amp;AU81,"")</f>
        <v xml:space="preserve">74 </v>
      </c>
      <c r="AT81" s="1049">
        <f>【様式2】職員名簿!E110</f>
        <v>0</v>
      </c>
      <c r="AU81" s="1049" t="str">
        <f>IF(【様式2】職員名簿!J110="エラー","-",【様式2】職員名簿!J110)</f>
        <v>-</v>
      </c>
      <c r="AV81" s="430">
        <f>IF($AT81="常勤",$AM$2,IF($AT81="非常勤",【様式2】職員名簿!G110,0))</f>
        <v>0</v>
      </c>
      <c r="AW81" s="330">
        <f>IF($AU81=AW$3,COUNTIF($AU$8:$AU81,AW$3),0)</f>
        <v>0</v>
      </c>
      <c r="AX81" s="331" t="str">
        <f t="shared" si="70"/>
        <v/>
      </c>
      <c r="AY81" s="332">
        <f>IF($AU81=AY$3,COUNTIF($AU$8:$AU81,AY$3),0)</f>
        <v>0</v>
      </c>
      <c r="AZ81" s="331" t="str">
        <f t="shared" si="71"/>
        <v/>
      </c>
      <c r="BA81" s="332">
        <f>IF($AU81=BA$3,COUNTIFS($AU$8:$AU81,BA$3,$AT$8:$AT81,BA$4),0)</f>
        <v>0</v>
      </c>
      <c r="BB81" s="331" t="str">
        <f t="shared" si="72"/>
        <v/>
      </c>
      <c r="BC81" s="431">
        <f>IF($AU81=BC$3,COUNTIF($AU$8:$AU81,BC$3),0)</f>
        <v>0</v>
      </c>
      <c r="BD81" s="331" t="str">
        <f t="shared" si="73"/>
        <v/>
      </c>
      <c r="BE81" s="312">
        <f>IF(OR($AU81=BE$3,$AU81=BE$4),COUNTIF($AU$8:$AU81,BE$3)+COUNTIF($AU$8:$AU81,BE$4),0)</f>
        <v>0</v>
      </c>
      <c r="BF81" s="331" t="str">
        <f t="shared" si="74"/>
        <v/>
      </c>
      <c r="BG81" s="312">
        <f>IF($AU81=BG$3,COUNTIF($AU$8:$AU81,BG$3),0)</f>
        <v>0</v>
      </c>
      <c r="BH81" s="331" t="str">
        <f t="shared" si="75"/>
        <v/>
      </c>
      <c r="BI81" s="312">
        <f>IF($AU81&lt;&gt;BI$3,COUNTIF($AU$8:$AU81,"&lt;&gt;"&amp;BI$3),0)</f>
        <v>0</v>
      </c>
      <c r="BJ81" s="331" t="str">
        <f t="shared" si="76"/>
        <v/>
      </c>
      <c r="BK81" s="954"/>
      <c r="BL81" s="954"/>
    </row>
    <row r="82" spans="1:64" ht="15" customHeight="1">
      <c r="A82" s="1414"/>
      <c r="B82" s="2658"/>
      <c r="C82" s="2659"/>
      <c r="D82" s="2261" t="str">
        <f t="shared" si="117"/>
        <v>保育士</v>
      </c>
      <c r="E82" s="2262"/>
      <c r="F82" s="2268"/>
      <c r="G82" s="2278"/>
      <c r="H82" s="2278"/>
      <c r="I82" s="837" t="str">
        <f t="shared" si="104"/>
        <v/>
      </c>
      <c r="J82" s="984" t="str">
        <f t="shared" si="118"/>
        <v/>
      </c>
      <c r="K82" s="1181"/>
      <c r="L82" s="859" t="str">
        <f t="shared" si="105"/>
        <v/>
      </c>
      <c r="M82" s="576">
        <f t="shared" si="106"/>
        <v>0</v>
      </c>
      <c r="N82" s="2619"/>
      <c r="O82" s="2620"/>
      <c r="P82" s="322"/>
      <c r="Q82" s="954"/>
      <c r="R82" s="954"/>
      <c r="S82" s="954"/>
      <c r="T82" s="465" t="str">
        <f t="shared" si="107"/>
        <v>保育士</v>
      </c>
      <c r="U82" s="970">
        <f t="shared" si="108"/>
        <v>0</v>
      </c>
      <c r="V82" s="968">
        <v>2</v>
      </c>
      <c r="W82" s="968" t="b">
        <f t="shared" si="121"/>
        <v>0</v>
      </c>
      <c r="X82" s="463" t="b">
        <f t="shared" ca="1" si="122"/>
        <v>0</v>
      </c>
      <c r="Y82" s="477" t="b">
        <f>COUNTIF($AC$25:AC81,AC82)+COUNTIF(AC83:$AC$124,AC82)-COUNTIF(Z82:AB82,AC82)=0</f>
        <v>0</v>
      </c>
      <c r="Z82" s="478" t="s">
        <v>874</v>
      </c>
      <c r="AA82" s="478" t="s">
        <v>874</v>
      </c>
      <c r="AB82" s="478" t="s">
        <v>874</v>
      </c>
      <c r="AC82" s="971">
        <f t="shared" si="110"/>
        <v>0</v>
      </c>
      <c r="AD82" s="463" t="b">
        <f t="shared" si="119"/>
        <v>0</v>
      </c>
      <c r="AE82" s="425" t="b">
        <f t="shared" si="112"/>
        <v>0</v>
      </c>
      <c r="AF82" s="968" t="str">
        <f t="shared" si="113"/>
        <v/>
      </c>
      <c r="AG82" s="478">
        <f t="shared" si="120"/>
        <v>0</v>
      </c>
      <c r="AH82" s="465">
        <v>2</v>
      </c>
      <c r="AI82" s="431">
        <f t="shared" si="115"/>
        <v>2</v>
      </c>
      <c r="AJ82" s="336">
        <f t="shared" si="116"/>
        <v>0</v>
      </c>
      <c r="AM82" s="341"/>
      <c r="AN82" s="341"/>
      <c r="AO82" s="338"/>
      <c r="AP82" s="338"/>
      <c r="AQ82" s="338"/>
      <c r="AR82" s="312">
        <f t="shared" si="103"/>
        <v>75</v>
      </c>
      <c r="AS82" s="1049" t="str">
        <f>AR82&amp;" "&amp;IF(AU82&lt;&gt;"-",【様式2】職員名簿!B111&amp;"/"&amp;AT82&amp;"/"&amp;AU82,"")</f>
        <v xml:space="preserve">75 </v>
      </c>
      <c r="AT82" s="1049">
        <f>【様式2】職員名簿!E111</f>
        <v>0</v>
      </c>
      <c r="AU82" s="1049" t="str">
        <f>IF(【様式2】職員名簿!J111="エラー","-",【様式2】職員名簿!J111)</f>
        <v>-</v>
      </c>
      <c r="AV82" s="430">
        <f>IF($AT82="常勤",$AM$2,IF($AT82="非常勤",【様式2】職員名簿!G111,0))</f>
        <v>0</v>
      </c>
      <c r="AW82" s="330">
        <f>IF($AU82=AW$3,COUNTIF($AU$8:$AU82,AW$3),0)</f>
        <v>0</v>
      </c>
      <c r="AX82" s="331" t="str">
        <f t="shared" si="70"/>
        <v/>
      </c>
      <c r="AY82" s="332">
        <f>IF($AU82=AY$3,COUNTIF($AU$8:$AU82,AY$3),0)</f>
        <v>0</v>
      </c>
      <c r="AZ82" s="331" t="str">
        <f t="shared" si="71"/>
        <v/>
      </c>
      <c r="BA82" s="332">
        <f>IF($AU82=BA$3,COUNTIFS($AU$8:$AU82,BA$3,$AT$8:$AT82,BA$4),0)</f>
        <v>0</v>
      </c>
      <c r="BB82" s="331" t="str">
        <f t="shared" si="72"/>
        <v/>
      </c>
      <c r="BC82" s="431">
        <f>IF($AU82=BC$3,COUNTIF($AU$8:$AU82,BC$3),0)</f>
        <v>0</v>
      </c>
      <c r="BD82" s="331" t="str">
        <f t="shared" si="73"/>
        <v/>
      </c>
      <c r="BE82" s="312">
        <f>IF(OR($AU82=BE$3,$AU82=BE$4),COUNTIF($AU$8:$AU82,BE$3)+COUNTIF($AU$8:$AU82,BE$4),0)</f>
        <v>0</v>
      </c>
      <c r="BF82" s="331" t="str">
        <f t="shared" si="74"/>
        <v/>
      </c>
      <c r="BG82" s="312">
        <f>IF($AU82=BG$3,COUNTIF($AU$8:$AU82,BG$3),0)</f>
        <v>0</v>
      </c>
      <c r="BH82" s="331" t="str">
        <f t="shared" si="75"/>
        <v/>
      </c>
      <c r="BI82" s="312">
        <f>IF($AU82&lt;&gt;BI$3,COUNTIF($AU$8:$AU82,"&lt;&gt;"&amp;BI$3),0)</f>
        <v>0</v>
      </c>
      <c r="BJ82" s="331" t="str">
        <f t="shared" si="76"/>
        <v/>
      </c>
      <c r="BK82" s="954"/>
      <c r="BL82" s="954"/>
    </row>
    <row r="83" spans="1:64" ht="15" customHeight="1">
      <c r="A83" s="1414"/>
      <c r="B83" s="2658"/>
      <c r="C83" s="2659"/>
      <c r="D83" s="2261" t="str">
        <f t="shared" si="117"/>
        <v>保育士</v>
      </c>
      <c r="E83" s="2262"/>
      <c r="F83" s="2268"/>
      <c r="G83" s="2278"/>
      <c r="H83" s="2278"/>
      <c r="I83" s="837" t="str">
        <f t="shared" si="104"/>
        <v/>
      </c>
      <c r="J83" s="984" t="str">
        <f t="shared" si="118"/>
        <v/>
      </c>
      <c r="K83" s="1181"/>
      <c r="L83" s="859" t="str">
        <f t="shared" si="105"/>
        <v/>
      </c>
      <c r="M83" s="576">
        <f t="shared" si="106"/>
        <v>0</v>
      </c>
      <c r="N83" s="2619"/>
      <c r="O83" s="2620"/>
      <c r="P83" s="322"/>
      <c r="Q83" s="954"/>
      <c r="R83" s="954"/>
      <c r="S83" s="954"/>
      <c r="T83" s="465" t="str">
        <f t="shared" si="107"/>
        <v>保育士</v>
      </c>
      <c r="U83" s="970">
        <f t="shared" si="108"/>
        <v>0</v>
      </c>
      <c r="V83" s="968">
        <v>2</v>
      </c>
      <c r="W83" s="968" t="b">
        <f t="shared" si="121"/>
        <v>0</v>
      </c>
      <c r="X83" s="463" t="b">
        <f t="shared" ca="1" si="122"/>
        <v>0</v>
      </c>
      <c r="Y83" s="477" t="b">
        <f>COUNTIF($AC$25:AC82,AC83)+COUNTIF(AC84:$AC$124,AC83)-COUNTIF(Z83:AB83,AC83)=0</f>
        <v>0</v>
      </c>
      <c r="Z83" s="478" t="s">
        <v>874</v>
      </c>
      <c r="AA83" s="478" t="s">
        <v>874</v>
      </c>
      <c r="AB83" s="478" t="s">
        <v>874</v>
      </c>
      <c r="AC83" s="971">
        <f t="shared" si="110"/>
        <v>0</v>
      </c>
      <c r="AD83" s="463" t="b">
        <f t="shared" si="119"/>
        <v>0</v>
      </c>
      <c r="AE83" s="425" t="b">
        <f t="shared" si="112"/>
        <v>0</v>
      </c>
      <c r="AF83" s="968" t="str">
        <f t="shared" si="113"/>
        <v/>
      </c>
      <c r="AG83" s="478">
        <f t="shared" si="120"/>
        <v>0</v>
      </c>
      <c r="AH83" s="465">
        <v>2</v>
      </c>
      <c r="AI83" s="431">
        <f t="shared" si="115"/>
        <v>2</v>
      </c>
      <c r="AJ83" s="336">
        <f t="shared" si="116"/>
        <v>0</v>
      </c>
      <c r="AM83" s="310"/>
      <c r="AN83" s="341"/>
      <c r="AO83" s="338"/>
      <c r="AP83" s="338"/>
      <c r="AQ83" s="338"/>
      <c r="AR83" s="312">
        <f t="shared" si="103"/>
        <v>76</v>
      </c>
      <c r="AS83" s="1049" t="str">
        <f>AR83&amp;" "&amp;IF(AU83&lt;&gt;"-",【様式2】職員名簿!B112&amp;"/"&amp;AT83&amp;"/"&amp;AU83,"")</f>
        <v xml:space="preserve">76 </v>
      </c>
      <c r="AT83" s="1049">
        <f>【様式2】職員名簿!E112</f>
        <v>0</v>
      </c>
      <c r="AU83" s="1049" t="str">
        <f>IF(【様式2】職員名簿!J112="エラー","-",【様式2】職員名簿!J112)</f>
        <v>-</v>
      </c>
      <c r="AV83" s="430">
        <f>IF($AT83="常勤",$AM$2,IF($AT83="非常勤",【様式2】職員名簿!G112,0))</f>
        <v>0</v>
      </c>
      <c r="AW83" s="330">
        <f>IF($AU83=AW$3,COUNTIF($AU$8:$AU83,AW$3),0)</f>
        <v>0</v>
      </c>
      <c r="AX83" s="331" t="str">
        <f t="shared" si="70"/>
        <v/>
      </c>
      <c r="AY83" s="332">
        <f>IF($AU83=AY$3,COUNTIF($AU$8:$AU83,AY$3),0)</f>
        <v>0</v>
      </c>
      <c r="AZ83" s="331" t="str">
        <f t="shared" si="71"/>
        <v/>
      </c>
      <c r="BA83" s="332">
        <f>IF($AU83=BA$3,COUNTIFS($AU$8:$AU83,BA$3,$AT$8:$AT83,BA$4),0)</f>
        <v>0</v>
      </c>
      <c r="BB83" s="331" t="str">
        <f t="shared" si="72"/>
        <v/>
      </c>
      <c r="BC83" s="431">
        <f>IF($AU83=BC$3,COUNTIF($AU$8:$AU83,BC$3),0)</f>
        <v>0</v>
      </c>
      <c r="BD83" s="331" t="str">
        <f t="shared" si="73"/>
        <v/>
      </c>
      <c r="BE83" s="312">
        <f>IF(OR($AU83=BE$3,$AU83=BE$4),COUNTIF($AU$8:$AU83,BE$3)+COUNTIF($AU$8:$AU83,BE$4),0)</f>
        <v>0</v>
      </c>
      <c r="BF83" s="331" t="str">
        <f t="shared" si="74"/>
        <v/>
      </c>
      <c r="BG83" s="312">
        <f>IF($AU83=BG$3,COUNTIF($AU$8:$AU83,BG$3),0)</f>
        <v>0</v>
      </c>
      <c r="BH83" s="331" t="str">
        <f t="shared" si="75"/>
        <v/>
      </c>
      <c r="BI83" s="312">
        <f>IF($AU83&lt;&gt;BI$3,COUNTIF($AU$8:$AU83,"&lt;&gt;"&amp;BI$3),0)</f>
        <v>0</v>
      </c>
      <c r="BJ83" s="331" t="str">
        <f t="shared" si="76"/>
        <v/>
      </c>
      <c r="BK83" s="954"/>
      <c r="BL83" s="954"/>
    </row>
    <row r="84" spans="1:64" ht="15" customHeight="1">
      <c r="A84" s="1414"/>
      <c r="B84" s="2675"/>
      <c r="C84" s="2676"/>
      <c r="D84" s="2320" t="str">
        <f t="shared" si="117"/>
        <v>保育士</v>
      </c>
      <c r="E84" s="2321"/>
      <c r="F84" s="2322"/>
      <c r="G84" s="2323"/>
      <c r="H84" s="2323"/>
      <c r="I84" s="835" t="str">
        <f t="shared" si="104"/>
        <v/>
      </c>
      <c r="J84" s="529" t="str">
        <f t="shared" si="118"/>
        <v/>
      </c>
      <c r="K84" s="1182"/>
      <c r="L84" s="852" t="str">
        <f t="shared" si="105"/>
        <v/>
      </c>
      <c r="M84" s="532">
        <f t="shared" si="106"/>
        <v>0</v>
      </c>
      <c r="N84" s="2619"/>
      <c r="O84" s="2620"/>
      <c r="P84" s="322"/>
      <c r="Q84" s="954"/>
      <c r="R84" s="954"/>
      <c r="S84" s="954"/>
      <c r="T84" s="465" t="str">
        <f t="shared" si="107"/>
        <v>保育士</v>
      </c>
      <c r="U84" s="970">
        <f t="shared" si="108"/>
        <v>0</v>
      </c>
      <c r="V84" s="968">
        <v>2</v>
      </c>
      <c r="W84" s="968" t="b">
        <f t="shared" si="121"/>
        <v>0</v>
      </c>
      <c r="X84" s="463" t="b">
        <f t="shared" ca="1" si="122"/>
        <v>0</v>
      </c>
      <c r="Y84" s="477" t="b">
        <f>COUNTIF($AC$25:AC83,AC84)+COUNTIF(AC85:$AC$124,AC84)-COUNTIF(Z84:AB84,AC84)=0</f>
        <v>0</v>
      </c>
      <c r="Z84" s="478" t="s">
        <v>874</v>
      </c>
      <c r="AA84" s="478" t="s">
        <v>874</v>
      </c>
      <c r="AB84" s="478" t="s">
        <v>874</v>
      </c>
      <c r="AC84" s="971">
        <f t="shared" si="110"/>
        <v>0</v>
      </c>
      <c r="AD84" s="463" t="b">
        <f t="shared" si="119"/>
        <v>0</v>
      </c>
      <c r="AE84" s="425" t="b">
        <f t="shared" si="112"/>
        <v>0</v>
      </c>
      <c r="AF84" s="968" t="str">
        <f t="shared" si="113"/>
        <v/>
      </c>
      <c r="AG84" s="478">
        <f t="shared" si="120"/>
        <v>0</v>
      </c>
      <c r="AH84" s="465">
        <v>2</v>
      </c>
      <c r="AI84" s="431">
        <f t="shared" si="115"/>
        <v>2</v>
      </c>
      <c r="AJ84" s="336">
        <f t="shared" si="116"/>
        <v>0</v>
      </c>
      <c r="AM84" s="310"/>
      <c r="AO84" s="338"/>
      <c r="AP84" s="338"/>
      <c r="AQ84" s="338"/>
      <c r="AR84" s="312">
        <f t="shared" si="103"/>
        <v>77</v>
      </c>
      <c r="AS84" s="1049" t="str">
        <f>AR84&amp;" "&amp;IF(AU84&lt;&gt;"-",【様式2】職員名簿!B113&amp;"/"&amp;AT84&amp;"/"&amp;AU84,"")</f>
        <v xml:space="preserve">77 </v>
      </c>
      <c r="AT84" s="1049">
        <f>【様式2】職員名簿!E113</f>
        <v>0</v>
      </c>
      <c r="AU84" s="1049" t="str">
        <f>IF(【様式2】職員名簿!J113="エラー","-",【様式2】職員名簿!J113)</f>
        <v>-</v>
      </c>
      <c r="AV84" s="430">
        <f>IF($AT84="常勤",$AM$2,IF($AT84="非常勤",【様式2】職員名簿!G113,0))</f>
        <v>0</v>
      </c>
      <c r="AW84" s="330">
        <f>IF($AU84=AW$3,COUNTIF($AU$8:$AU84,AW$3),0)</f>
        <v>0</v>
      </c>
      <c r="AX84" s="331" t="str">
        <f t="shared" si="70"/>
        <v/>
      </c>
      <c r="AY84" s="332">
        <f>IF($AU84=AY$3,COUNTIF($AU$8:$AU84,AY$3),0)</f>
        <v>0</v>
      </c>
      <c r="AZ84" s="331" t="str">
        <f t="shared" si="71"/>
        <v/>
      </c>
      <c r="BA84" s="332">
        <f>IF($AU84=BA$3,COUNTIFS($AU$8:$AU84,BA$3,$AT$8:$AT84,BA$4),0)</f>
        <v>0</v>
      </c>
      <c r="BB84" s="331" t="str">
        <f t="shared" si="72"/>
        <v/>
      </c>
      <c r="BC84" s="431">
        <f>IF($AU84=BC$3,COUNTIF($AU$8:$AU84,BC$3),0)</f>
        <v>0</v>
      </c>
      <c r="BD84" s="331" t="str">
        <f t="shared" si="73"/>
        <v/>
      </c>
      <c r="BE84" s="312">
        <f>IF(OR($AU84=BE$3,$AU84=BE$4),COUNTIF($AU$8:$AU84,BE$3)+COUNTIF($AU$8:$AU84,BE$4),0)</f>
        <v>0</v>
      </c>
      <c r="BF84" s="331" t="str">
        <f t="shared" si="74"/>
        <v/>
      </c>
      <c r="BG84" s="312">
        <f>IF($AU84=BG$3,COUNTIF($AU$8:$AU84,BG$3),0)</f>
        <v>0</v>
      </c>
      <c r="BH84" s="331" t="str">
        <f t="shared" si="75"/>
        <v/>
      </c>
      <c r="BI84" s="312">
        <f>IF($AU84&lt;&gt;BI$3,COUNTIF($AU$8:$AU84,"&lt;&gt;"&amp;BI$3),0)</f>
        <v>0</v>
      </c>
      <c r="BJ84" s="331" t="str">
        <f t="shared" si="76"/>
        <v/>
      </c>
      <c r="BK84" s="954"/>
      <c r="BL84" s="954"/>
    </row>
    <row r="85" spans="1:64" ht="15" hidden="1" customHeight="1">
      <c r="A85" s="1414"/>
      <c r="B85" s="2656" t="s">
        <v>1017</v>
      </c>
      <c r="C85" s="2657"/>
      <c r="D85" s="2324" t="str">
        <f t="shared" si="117"/>
        <v>調理員</v>
      </c>
      <c r="E85" s="2325"/>
      <c r="F85" s="2326"/>
      <c r="G85" s="2327"/>
      <c r="H85" s="2327"/>
      <c r="I85" s="865" t="str">
        <f t="shared" si="104"/>
        <v/>
      </c>
      <c r="J85" s="832" t="str">
        <f t="shared" si="118"/>
        <v/>
      </c>
      <c r="K85" s="1036"/>
      <c r="L85" s="901" t="str">
        <f t="shared" si="105"/>
        <v/>
      </c>
      <c r="M85" s="797">
        <f t="shared" si="106"/>
        <v>0</v>
      </c>
      <c r="N85" s="2679">
        <f>SUM(M85:M91)</f>
        <v>0</v>
      </c>
      <c r="O85" s="2680"/>
      <c r="P85" s="322"/>
      <c r="Q85" s="954"/>
      <c r="R85" s="954"/>
      <c r="S85" s="954"/>
      <c r="T85" s="465" t="str">
        <f t="shared" ref="T85:T91" si="123">$BF$6</f>
        <v>調理員</v>
      </c>
      <c r="U85" s="970">
        <f t="shared" si="108"/>
        <v>0</v>
      </c>
      <c r="V85" s="968">
        <v>2</v>
      </c>
      <c r="W85" s="968" t="b">
        <f t="shared" si="121"/>
        <v>0</v>
      </c>
      <c r="X85" s="463" t="b">
        <f t="shared" ca="1" si="122"/>
        <v>0</v>
      </c>
      <c r="Y85" s="477" t="b">
        <f>COUNTIF($AC$25:AC84,AC85)+COUNTIF(AC86:$AC$124,AC85)-COUNTIF(Z85:AB85,AC85)=0</f>
        <v>0</v>
      </c>
      <c r="Z85" s="478" t="s">
        <v>874</v>
      </c>
      <c r="AA85" s="478" t="s">
        <v>874</v>
      </c>
      <c r="AB85" s="478" t="s">
        <v>874</v>
      </c>
      <c r="AC85" s="971">
        <f t="shared" si="110"/>
        <v>0</v>
      </c>
      <c r="AD85" s="463" t="b">
        <f t="shared" si="119"/>
        <v>0</v>
      </c>
      <c r="AE85" s="425" t="b">
        <f t="shared" si="112"/>
        <v>0</v>
      </c>
      <c r="AF85" s="968" t="str">
        <f t="shared" si="113"/>
        <v/>
      </c>
      <c r="AG85" s="478">
        <f t="shared" si="120"/>
        <v>0</v>
      </c>
      <c r="AH85" s="465">
        <v>2</v>
      </c>
      <c r="AI85" s="431">
        <f t="shared" si="115"/>
        <v>2</v>
      </c>
      <c r="AJ85" s="336">
        <f t="shared" si="116"/>
        <v>0</v>
      </c>
      <c r="AO85" s="338"/>
      <c r="AP85" s="338"/>
      <c r="AQ85" s="338"/>
      <c r="AR85" s="312">
        <f t="shared" si="103"/>
        <v>78</v>
      </c>
      <c r="AS85" s="1049" t="str">
        <f>AR85&amp;" "&amp;IF(AU85&lt;&gt;"-",【様式2】職員名簿!B114&amp;"/"&amp;AT85&amp;"/"&amp;AU85,"")</f>
        <v xml:space="preserve">78 </v>
      </c>
      <c r="AT85" s="1049">
        <f>【様式2】職員名簿!E114</f>
        <v>0</v>
      </c>
      <c r="AU85" s="1049" t="str">
        <f>IF(【様式2】職員名簿!J114="エラー","-",【様式2】職員名簿!J114)</f>
        <v>-</v>
      </c>
      <c r="AV85" s="430">
        <f>IF($AT85="常勤",$AM$2,IF($AT85="非常勤",【様式2】職員名簿!G114,0))</f>
        <v>0</v>
      </c>
      <c r="AW85" s="330">
        <f>IF($AU85=AW$3,COUNTIF($AU$8:$AU85,AW$3),0)</f>
        <v>0</v>
      </c>
      <c r="AX85" s="331" t="str">
        <f t="shared" si="70"/>
        <v/>
      </c>
      <c r="AY85" s="332">
        <f>IF($AU85=AY$3,COUNTIF($AU$8:$AU85,AY$3),0)</f>
        <v>0</v>
      </c>
      <c r="AZ85" s="331" t="str">
        <f t="shared" si="71"/>
        <v/>
      </c>
      <c r="BA85" s="332">
        <f>IF($AU85=BA$3,COUNTIFS($AU$8:$AU85,BA$3,$AT$8:$AT85,BA$4),0)</f>
        <v>0</v>
      </c>
      <c r="BB85" s="331" t="str">
        <f t="shared" si="72"/>
        <v/>
      </c>
      <c r="BC85" s="431">
        <f>IF($AU85=BC$3,COUNTIF($AU$8:$AU85,BC$3),0)</f>
        <v>0</v>
      </c>
      <c r="BD85" s="331" t="str">
        <f t="shared" si="73"/>
        <v/>
      </c>
      <c r="BE85" s="312">
        <f>IF(OR($AU85=BE$3,$AU85=BE$4),COUNTIF($AU$8:$AU85,BE$3)+COUNTIF($AU$8:$AU85,BE$4),0)</f>
        <v>0</v>
      </c>
      <c r="BF85" s="331" t="str">
        <f t="shared" si="74"/>
        <v/>
      </c>
      <c r="BG85" s="312">
        <f>IF($AU85=BG$3,COUNTIF($AU$8:$AU85,BG$3),0)</f>
        <v>0</v>
      </c>
      <c r="BH85" s="331" t="str">
        <f t="shared" si="75"/>
        <v/>
      </c>
      <c r="BI85" s="312">
        <f>IF($AU85&lt;&gt;BI$3,COUNTIF($AU$8:$AU85,"&lt;&gt;"&amp;BI$3),0)</f>
        <v>0</v>
      </c>
      <c r="BJ85" s="331" t="str">
        <f t="shared" si="76"/>
        <v/>
      </c>
      <c r="BK85" s="954"/>
      <c r="BL85" s="954"/>
    </row>
    <row r="86" spans="1:64" ht="15" hidden="1" customHeight="1">
      <c r="A86" s="1414"/>
      <c r="B86" s="2658"/>
      <c r="C86" s="2659"/>
      <c r="D86" s="2261" t="str">
        <f t="shared" si="117"/>
        <v>調理員</v>
      </c>
      <c r="E86" s="2262"/>
      <c r="F86" s="2268"/>
      <c r="G86" s="2278"/>
      <c r="H86" s="2278"/>
      <c r="I86" s="837" t="str">
        <f t="shared" si="104"/>
        <v/>
      </c>
      <c r="J86" s="984" t="str">
        <f t="shared" si="118"/>
        <v/>
      </c>
      <c r="K86" s="1034"/>
      <c r="L86" s="859" t="str">
        <f t="shared" si="105"/>
        <v/>
      </c>
      <c r="M86" s="576">
        <f t="shared" si="106"/>
        <v>0</v>
      </c>
      <c r="N86" s="2619"/>
      <c r="O86" s="2620"/>
      <c r="P86" s="322"/>
      <c r="Q86" s="954"/>
      <c r="R86" s="954"/>
      <c r="S86" s="954"/>
      <c r="T86" s="465" t="str">
        <f t="shared" si="123"/>
        <v>調理員</v>
      </c>
      <c r="U86" s="970">
        <f t="shared" si="108"/>
        <v>0</v>
      </c>
      <c r="V86" s="968">
        <v>2</v>
      </c>
      <c r="W86" s="968" t="b">
        <f t="shared" si="121"/>
        <v>0</v>
      </c>
      <c r="X86" s="463" t="b">
        <f t="shared" ca="1" si="122"/>
        <v>0</v>
      </c>
      <c r="Y86" s="477" t="b">
        <f>COUNTIF($AC$25:AC85,AC86)+COUNTIF(AC87:$AC$124,AC86)-COUNTIF(Z86:AB86,AC86)=0</f>
        <v>0</v>
      </c>
      <c r="Z86" s="478" t="s">
        <v>874</v>
      </c>
      <c r="AA86" s="478" t="s">
        <v>874</v>
      </c>
      <c r="AB86" s="478" t="s">
        <v>874</v>
      </c>
      <c r="AC86" s="971">
        <f t="shared" si="110"/>
        <v>0</v>
      </c>
      <c r="AD86" s="463" t="b">
        <f t="shared" si="119"/>
        <v>0</v>
      </c>
      <c r="AE86" s="425" t="b">
        <f t="shared" si="112"/>
        <v>0</v>
      </c>
      <c r="AF86" s="968" t="str">
        <f t="shared" si="113"/>
        <v/>
      </c>
      <c r="AG86" s="478">
        <f t="shared" si="120"/>
        <v>0</v>
      </c>
      <c r="AH86" s="465">
        <v>2</v>
      </c>
      <c r="AI86" s="431">
        <f t="shared" si="115"/>
        <v>2</v>
      </c>
      <c r="AJ86" s="336">
        <f t="shared" si="116"/>
        <v>0</v>
      </c>
      <c r="AO86" s="338"/>
      <c r="AP86" s="338"/>
      <c r="AQ86" s="338"/>
      <c r="AR86" s="312">
        <f t="shared" si="103"/>
        <v>79</v>
      </c>
      <c r="AS86" s="1049" t="str">
        <f>AR86&amp;" "&amp;IF(AU86&lt;&gt;"-",【様式2】職員名簿!B115&amp;"/"&amp;AT86&amp;"/"&amp;AU86,"")</f>
        <v xml:space="preserve">79 </v>
      </c>
      <c r="AT86" s="1049">
        <f>【様式2】職員名簿!E115</f>
        <v>0</v>
      </c>
      <c r="AU86" s="1049" t="str">
        <f>IF(【様式2】職員名簿!J115="エラー","-",【様式2】職員名簿!J115)</f>
        <v>-</v>
      </c>
      <c r="AV86" s="430">
        <f>IF($AT86="常勤",$AM$2,IF($AT86="非常勤",【様式2】職員名簿!G115,0))</f>
        <v>0</v>
      </c>
      <c r="AW86" s="330">
        <f>IF($AU86=AW$3,COUNTIF($AU$8:$AU86,AW$3),0)</f>
        <v>0</v>
      </c>
      <c r="AX86" s="331" t="str">
        <f t="shared" si="70"/>
        <v/>
      </c>
      <c r="AY86" s="332">
        <f>IF($AU86=AY$3,COUNTIF($AU$8:$AU86,AY$3),0)</f>
        <v>0</v>
      </c>
      <c r="AZ86" s="331" t="str">
        <f t="shared" si="71"/>
        <v/>
      </c>
      <c r="BA86" s="332">
        <f>IF($AU86=BA$3,COUNTIFS($AU$8:$AU86,BA$3,$AT$8:$AT86,BA$4),0)</f>
        <v>0</v>
      </c>
      <c r="BB86" s="331" t="str">
        <f t="shared" si="72"/>
        <v/>
      </c>
      <c r="BC86" s="431">
        <f>IF($AU86=BC$3,COUNTIF($AU$8:$AU86,BC$3),0)</f>
        <v>0</v>
      </c>
      <c r="BD86" s="331" t="str">
        <f t="shared" si="73"/>
        <v/>
      </c>
      <c r="BE86" s="312">
        <f>IF(OR($AU86=BE$3,$AU86=BE$4),COUNTIF($AU$8:$AU86,BE$3)+COUNTIF($AU$8:$AU86,BE$4),0)</f>
        <v>0</v>
      </c>
      <c r="BF86" s="331" t="str">
        <f t="shared" si="74"/>
        <v/>
      </c>
      <c r="BG86" s="312">
        <f>IF($AU86=BG$3,COUNTIF($AU$8:$AU86,BG$3),0)</f>
        <v>0</v>
      </c>
      <c r="BH86" s="331" t="str">
        <f t="shared" si="75"/>
        <v/>
      </c>
      <c r="BI86" s="312">
        <f>IF($AU86&lt;&gt;BI$3,COUNTIF($AU$8:$AU86,"&lt;&gt;"&amp;BI$3),0)</f>
        <v>0</v>
      </c>
      <c r="BJ86" s="331" t="str">
        <f t="shared" si="76"/>
        <v/>
      </c>
      <c r="BK86" s="954"/>
      <c r="BL86" s="954"/>
    </row>
    <row r="87" spans="1:64" ht="15" hidden="1" customHeight="1">
      <c r="A87" s="1414"/>
      <c r="B87" s="2658"/>
      <c r="C87" s="2659"/>
      <c r="D87" s="2261" t="str">
        <f t="shared" si="117"/>
        <v>調理員</v>
      </c>
      <c r="E87" s="2262"/>
      <c r="F87" s="2268"/>
      <c r="G87" s="2278"/>
      <c r="H87" s="2278"/>
      <c r="I87" s="837" t="str">
        <f t="shared" si="104"/>
        <v/>
      </c>
      <c r="J87" s="984" t="str">
        <f t="shared" si="118"/>
        <v/>
      </c>
      <c r="K87" s="1034"/>
      <c r="L87" s="859" t="str">
        <f t="shared" si="105"/>
        <v/>
      </c>
      <c r="M87" s="576">
        <f t="shared" si="106"/>
        <v>0</v>
      </c>
      <c r="N87" s="2619"/>
      <c r="O87" s="2620"/>
      <c r="P87" s="322"/>
      <c r="Q87" s="954"/>
      <c r="R87" s="954"/>
      <c r="S87" s="954"/>
      <c r="T87" s="465" t="str">
        <f t="shared" si="123"/>
        <v>調理員</v>
      </c>
      <c r="U87" s="970">
        <f t="shared" si="108"/>
        <v>0</v>
      </c>
      <c r="V87" s="968">
        <v>2</v>
      </c>
      <c r="W87" s="968" t="b">
        <f t="shared" si="121"/>
        <v>0</v>
      </c>
      <c r="X87" s="463" t="b">
        <f t="shared" ca="1" si="122"/>
        <v>0</v>
      </c>
      <c r="Y87" s="477" t="b">
        <f>COUNTIF($AC$25:AC86,AC87)+COUNTIF(AC88:$AC$124,AC87)-COUNTIF(Z87:AB87,AC87)=0</f>
        <v>0</v>
      </c>
      <c r="Z87" s="478" t="s">
        <v>874</v>
      </c>
      <c r="AA87" s="478" t="s">
        <v>874</v>
      </c>
      <c r="AB87" s="478" t="s">
        <v>874</v>
      </c>
      <c r="AC87" s="971">
        <f t="shared" si="110"/>
        <v>0</v>
      </c>
      <c r="AD87" s="463" t="b">
        <f t="shared" si="119"/>
        <v>0</v>
      </c>
      <c r="AE87" s="425" t="b">
        <f t="shared" si="112"/>
        <v>0</v>
      </c>
      <c r="AF87" s="968" t="str">
        <f t="shared" si="113"/>
        <v/>
      </c>
      <c r="AG87" s="478">
        <f t="shared" si="120"/>
        <v>0</v>
      </c>
      <c r="AH87" s="465">
        <v>2</v>
      </c>
      <c r="AI87" s="431">
        <f t="shared" si="115"/>
        <v>2</v>
      </c>
      <c r="AJ87" s="336">
        <f t="shared" si="116"/>
        <v>0</v>
      </c>
      <c r="AO87" s="338"/>
      <c r="AP87" s="338"/>
      <c r="AQ87" s="338"/>
      <c r="AR87" s="312">
        <f t="shared" si="103"/>
        <v>80</v>
      </c>
      <c r="AS87" s="1049" t="str">
        <f>AR87&amp;" "&amp;IF(AU87&lt;&gt;"-",【様式2】職員名簿!B116&amp;"/"&amp;AT87&amp;"/"&amp;AU87,"")</f>
        <v xml:space="preserve">80 </v>
      </c>
      <c r="AT87" s="1049">
        <f>【様式2】職員名簿!E116</f>
        <v>0</v>
      </c>
      <c r="AU87" s="1049" t="str">
        <f>IF(【様式2】職員名簿!J116="エラー","-",【様式2】職員名簿!J116)</f>
        <v>-</v>
      </c>
      <c r="AV87" s="430">
        <f>IF($AT87="常勤",$AM$2,IF($AT87="非常勤",【様式2】職員名簿!G116,0))</f>
        <v>0</v>
      </c>
      <c r="AW87" s="330">
        <f>IF($AU87=AW$3,COUNTIF($AU$8:$AU87,AW$3),0)</f>
        <v>0</v>
      </c>
      <c r="AX87" s="331" t="str">
        <f t="shared" si="70"/>
        <v/>
      </c>
      <c r="AY87" s="332">
        <f>IF($AU87=AY$3,COUNTIF($AU$8:$AU87,AY$3),0)</f>
        <v>0</v>
      </c>
      <c r="AZ87" s="331" t="str">
        <f t="shared" si="71"/>
        <v/>
      </c>
      <c r="BA87" s="332">
        <f>IF($AU87=BA$3,COUNTIFS($AU$8:$AU87,BA$3,$AT$8:$AT87,BA$4),0)</f>
        <v>0</v>
      </c>
      <c r="BB87" s="331" t="str">
        <f t="shared" si="72"/>
        <v/>
      </c>
      <c r="BC87" s="431">
        <f>IF($AU87=BC$3,COUNTIF($AU$8:$AU87,BC$3),0)</f>
        <v>0</v>
      </c>
      <c r="BD87" s="331" t="str">
        <f t="shared" si="73"/>
        <v/>
      </c>
      <c r="BE87" s="312">
        <f>IF(OR($AU87=BE$3,$AU87=BE$4),COUNTIF($AU$8:$AU87,BE$3)+COUNTIF($AU$8:$AU87,BE$4),0)</f>
        <v>0</v>
      </c>
      <c r="BF87" s="331" t="str">
        <f t="shared" si="74"/>
        <v/>
      </c>
      <c r="BG87" s="312">
        <f>IF($AU87=BG$3,COUNTIF($AU$8:$AU87,BG$3),0)</f>
        <v>0</v>
      </c>
      <c r="BH87" s="331" t="str">
        <f t="shared" si="75"/>
        <v/>
      </c>
      <c r="BI87" s="312">
        <f>IF($AU87&lt;&gt;BI$3,COUNTIF($AU$8:$AU87,"&lt;&gt;"&amp;BI$3),0)</f>
        <v>0</v>
      </c>
      <c r="BJ87" s="331" t="str">
        <f t="shared" si="76"/>
        <v/>
      </c>
      <c r="BK87" s="954"/>
      <c r="BL87" s="954"/>
    </row>
    <row r="88" spans="1:64" ht="15" hidden="1" customHeight="1">
      <c r="A88" s="1414"/>
      <c r="B88" s="2658"/>
      <c r="C88" s="2659"/>
      <c r="D88" s="2261" t="str">
        <f t="shared" si="117"/>
        <v>調理員</v>
      </c>
      <c r="E88" s="2262"/>
      <c r="F88" s="2268"/>
      <c r="G88" s="2278"/>
      <c r="H88" s="2278"/>
      <c r="I88" s="837" t="str">
        <f t="shared" si="104"/>
        <v/>
      </c>
      <c r="J88" s="984" t="str">
        <f t="shared" si="118"/>
        <v/>
      </c>
      <c r="K88" s="1034"/>
      <c r="L88" s="859" t="str">
        <f t="shared" si="105"/>
        <v/>
      </c>
      <c r="M88" s="576">
        <f t="shared" si="106"/>
        <v>0</v>
      </c>
      <c r="N88" s="2619"/>
      <c r="O88" s="2620"/>
      <c r="P88" s="322"/>
      <c r="Q88" s="954"/>
      <c r="R88" s="954"/>
      <c r="S88" s="954"/>
      <c r="T88" s="465" t="str">
        <f t="shared" si="123"/>
        <v>調理員</v>
      </c>
      <c r="U88" s="970">
        <f t="shared" si="108"/>
        <v>0</v>
      </c>
      <c r="V88" s="968">
        <v>2</v>
      </c>
      <c r="W88" s="968" t="b">
        <f t="shared" si="121"/>
        <v>0</v>
      </c>
      <c r="X88" s="463" t="b">
        <f t="shared" ca="1" si="122"/>
        <v>0</v>
      </c>
      <c r="Y88" s="477" t="b">
        <f>COUNTIF($AC$25:AC87,AC88)+COUNTIF(AC89:$AC$124,AC88)-COUNTIF(Z88:AB88,AC88)=0</f>
        <v>0</v>
      </c>
      <c r="Z88" s="478" t="s">
        <v>874</v>
      </c>
      <c r="AA88" s="478" t="s">
        <v>874</v>
      </c>
      <c r="AB88" s="478" t="s">
        <v>874</v>
      </c>
      <c r="AC88" s="971">
        <f t="shared" si="110"/>
        <v>0</v>
      </c>
      <c r="AD88" s="463" t="b">
        <f t="shared" si="119"/>
        <v>0</v>
      </c>
      <c r="AE88" s="425" t="b">
        <f t="shared" si="112"/>
        <v>0</v>
      </c>
      <c r="AF88" s="968" t="str">
        <f t="shared" si="113"/>
        <v/>
      </c>
      <c r="AG88" s="478">
        <f t="shared" si="120"/>
        <v>0</v>
      </c>
      <c r="AH88" s="465">
        <v>2</v>
      </c>
      <c r="AI88" s="431">
        <f t="shared" si="115"/>
        <v>2</v>
      </c>
      <c r="AJ88" s="336">
        <f t="shared" si="116"/>
        <v>0</v>
      </c>
      <c r="AO88" s="338"/>
      <c r="AP88" s="338"/>
      <c r="AQ88" s="338"/>
      <c r="AR88" s="312">
        <f t="shared" si="103"/>
        <v>81</v>
      </c>
      <c r="AS88" s="1049" t="str">
        <f>AR88&amp;" "&amp;IF(AU88&lt;&gt;"-",【様式2】職員名簿!B117&amp;"/"&amp;AT88&amp;"/"&amp;AU88,"")</f>
        <v xml:space="preserve">81 </v>
      </c>
      <c r="AT88" s="1049">
        <f>【様式2】職員名簿!E117</f>
        <v>0</v>
      </c>
      <c r="AU88" s="1049" t="str">
        <f>IF(【様式2】職員名簿!J117="エラー","-",【様式2】職員名簿!J117)</f>
        <v>-</v>
      </c>
      <c r="AV88" s="430">
        <f>IF($AT88="常勤",$AM$2,IF($AT88="非常勤",【様式2】職員名簿!G117,0))</f>
        <v>0</v>
      </c>
      <c r="AW88" s="330">
        <f>IF($AU88=AW$3,COUNTIF($AU$8:$AU88,AW$3),0)</f>
        <v>0</v>
      </c>
      <c r="AX88" s="331" t="str">
        <f t="shared" si="70"/>
        <v/>
      </c>
      <c r="AY88" s="332">
        <f>IF($AU88=AY$3,COUNTIF($AU$8:$AU88,AY$3),0)</f>
        <v>0</v>
      </c>
      <c r="AZ88" s="331" t="str">
        <f t="shared" si="71"/>
        <v/>
      </c>
      <c r="BA88" s="332">
        <f>IF($AU88=BA$3,COUNTIFS($AU$8:$AU88,BA$3,$AT$8:$AT88,BA$4),0)</f>
        <v>0</v>
      </c>
      <c r="BB88" s="331" t="str">
        <f t="shared" si="72"/>
        <v/>
      </c>
      <c r="BC88" s="431">
        <f>IF($AU88=BC$3,COUNTIF($AU$8:$AU88,BC$3),0)</f>
        <v>0</v>
      </c>
      <c r="BD88" s="331" t="str">
        <f t="shared" si="73"/>
        <v/>
      </c>
      <c r="BE88" s="312">
        <f>IF(OR($AU88=BE$3,$AU88=BE$4),COUNTIF($AU$8:$AU88,BE$3)+COUNTIF($AU$8:$AU88,BE$4),0)</f>
        <v>0</v>
      </c>
      <c r="BF88" s="331" t="str">
        <f t="shared" si="74"/>
        <v/>
      </c>
      <c r="BG88" s="312">
        <f>IF($AU88=BG$3,COUNTIF($AU$8:$AU88,BG$3),0)</f>
        <v>0</v>
      </c>
      <c r="BH88" s="331" t="str">
        <f t="shared" si="75"/>
        <v/>
      </c>
      <c r="BI88" s="312">
        <f>IF($AU88&lt;&gt;BI$3,COUNTIF($AU$8:$AU88,"&lt;&gt;"&amp;BI$3),0)</f>
        <v>0</v>
      </c>
      <c r="BJ88" s="331" t="str">
        <f t="shared" si="76"/>
        <v/>
      </c>
      <c r="BK88" s="954"/>
      <c r="BL88" s="954"/>
    </row>
    <row r="89" spans="1:64" ht="15" hidden="1" customHeight="1">
      <c r="A89" s="1414"/>
      <c r="B89" s="2658"/>
      <c r="C89" s="2659"/>
      <c r="D89" s="2261" t="str">
        <f t="shared" si="117"/>
        <v>調理員</v>
      </c>
      <c r="E89" s="2262"/>
      <c r="F89" s="2268"/>
      <c r="G89" s="2278"/>
      <c r="H89" s="2278"/>
      <c r="I89" s="837" t="str">
        <f t="shared" si="104"/>
        <v/>
      </c>
      <c r="J89" s="984" t="str">
        <f t="shared" si="118"/>
        <v/>
      </c>
      <c r="K89" s="1034"/>
      <c r="L89" s="859" t="str">
        <f t="shared" si="105"/>
        <v/>
      </c>
      <c r="M89" s="576">
        <f t="shared" si="106"/>
        <v>0</v>
      </c>
      <c r="N89" s="2619"/>
      <c r="O89" s="2620"/>
      <c r="P89" s="322"/>
      <c r="Q89" s="954"/>
      <c r="R89" s="954"/>
      <c r="S89" s="954"/>
      <c r="T89" s="465" t="str">
        <f t="shared" si="123"/>
        <v>調理員</v>
      </c>
      <c r="U89" s="970">
        <f t="shared" si="108"/>
        <v>0</v>
      </c>
      <c r="V89" s="968">
        <v>2</v>
      </c>
      <c r="W89" s="968" t="b">
        <f t="shared" si="121"/>
        <v>0</v>
      </c>
      <c r="X89" s="463" t="b">
        <f t="shared" ca="1" si="122"/>
        <v>0</v>
      </c>
      <c r="Y89" s="477" t="b">
        <f>COUNTIF($AC$25:AC88,AC89)+COUNTIF(AC90:$AC$124,AC89)-COUNTIF(Z89:AB89,AC89)=0</f>
        <v>0</v>
      </c>
      <c r="Z89" s="478" t="s">
        <v>874</v>
      </c>
      <c r="AA89" s="478" t="s">
        <v>874</v>
      </c>
      <c r="AB89" s="478" t="s">
        <v>874</v>
      </c>
      <c r="AC89" s="971">
        <f t="shared" si="110"/>
        <v>0</v>
      </c>
      <c r="AD89" s="463" t="b">
        <f t="shared" si="119"/>
        <v>0</v>
      </c>
      <c r="AE89" s="425" t="b">
        <f t="shared" si="112"/>
        <v>0</v>
      </c>
      <c r="AF89" s="968" t="str">
        <f t="shared" si="113"/>
        <v/>
      </c>
      <c r="AG89" s="478">
        <f t="shared" si="120"/>
        <v>0</v>
      </c>
      <c r="AH89" s="465">
        <v>2</v>
      </c>
      <c r="AI89" s="431">
        <f t="shared" si="115"/>
        <v>2</v>
      </c>
      <c r="AJ89" s="336">
        <f t="shared" si="116"/>
        <v>0</v>
      </c>
      <c r="AO89" s="338"/>
      <c r="AP89" s="338"/>
      <c r="AQ89" s="338"/>
      <c r="AR89" s="312">
        <f t="shared" si="103"/>
        <v>82</v>
      </c>
      <c r="AS89" s="1049" t="str">
        <f>AR89&amp;" "&amp;IF(AU89&lt;&gt;"-",【様式2】職員名簿!B118&amp;"/"&amp;AT89&amp;"/"&amp;AU89,"")</f>
        <v xml:space="preserve">82 </v>
      </c>
      <c r="AT89" s="1049">
        <f>【様式2】職員名簿!E118</f>
        <v>0</v>
      </c>
      <c r="AU89" s="1049" t="str">
        <f>IF(【様式2】職員名簿!J118="エラー","-",【様式2】職員名簿!J118)</f>
        <v>-</v>
      </c>
      <c r="AV89" s="430">
        <f>IF($AT89="常勤",$AM$2,IF($AT89="非常勤",【様式2】職員名簿!G118,0))</f>
        <v>0</v>
      </c>
      <c r="AW89" s="330">
        <f>IF($AU89=AW$3,COUNTIF($AU$8:$AU89,AW$3),0)</f>
        <v>0</v>
      </c>
      <c r="AX89" s="331" t="str">
        <f t="shared" ref="AX89:AX111" si="124">IFERROR(INDEX($AS$8:$AS$111,MATCH($AR89,AW$8:AW$111,0),1),"")</f>
        <v/>
      </c>
      <c r="AY89" s="332">
        <f>IF($AU89=AY$3,COUNTIF($AU$8:$AU89,AY$3),0)</f>
        <v>0</v>
      </c>
      <c r="AZ89" s="331" t="str">
        <f t="shared" ref="AZ89:AZ111" si="125">IFERROR(INDEX($AS$8:$AS$111,MATCH($AR89,AY$8:AY$111,0),1),"")</f>
        <v/>
      </c>
      <c r="BA89" s="332">
        <f>IF($AU89=BA$3,COUNTIFS($AU$8:$AU89,BA$3,$AT$8:$AT89,BA$4),0)</f>
        <v>0</v>
      </c>
      <c r="BB89" s="331" t="str">
        <f t="shared" ref="BB89:BB111" si="126">IFERROR(INDEX($AS$8:$AS$111,MATCH($AR89,BA$8:BA$111,0),1),"")</f>
        <v/>
      </c>
      <c r="BC89" s="431">
        <f>IF($AU89=BC$3,COUNTIF($AU$8:$AU89,BC$3),0)</f>
        <v>0</v>
      </c>
      <c r="BD89" s="331" t="str">
        <f t="shared" ref="BD89:BD111" si="127">IFERROR(INDEX($AS$8:$AS$111,MATCH($AR89,BC$8:BC$111,0),1),"")</f>
        <v/>
      </c>
      <c r="BE89" s="312">
        <f>IF(OR($AU89=BE$3,$AU89=BE$4),COUNTIF($AU$8:$AU89,BE$3)+COUNTIF($AU$8:$AU89,BE$4),0)</f>
        <v>0</v>
      </c>
      <c r="BF89" s="331" t="str">
        <f t="shared" ref="BF89:BF111" si="128">IFERROR(INDEX($AS$8:$AS$111,MATCH($AR89,BE$8:BE$111,0),1),"")</f>
        <v/>
      </c>
      <c r="BG89" s="312">
        <f>IF($AU89=BG$3,COUNTIF($AU$8:$AU89,BG$3),0)</f>
        <v>0</v>
      </c>
      <c r="BH89" s="331" t="str">
        <f t="shared" ref="BH89:BH111" si="129">IFERROR(INDEX($AS$8:$AS$111,MATCH($AR89,BG$8:BG$111,0),1),"")</f>
        <v/>
      </c>
      <c r="BI89" s="312">
        <f>IF($AU89&lt;&gt;BI$3,COUNTIF($AU$8:$AU89,"&lt;&gt;"&amp;BI$3),0)</f>
        <v>0</v>
      </c>
      <c r="BJ89" s="331" t="str">
        <f t="shared" ref="BJ89:BJ111" si="130">IFERROR(INDEX($AS$8:$AS$111,MATCH($AR89,BI$8:BI$111,0),1),"")</f>
        <v/>
      </c>
      <c r="BK89" s="954"/>
      <c r="BL89" s="954"/>
    </row>
    <row r="90" spans="1:64" ht="15" hidden="1" customHeight="1">
      <c r="A90" s="1414"/>
      <c r="B90" s="2658"/>
      <c r="C90" s="2659"/>
      <c r="D90" s="2261" t="str">
        <f t="shared" si="117"/>
        <v>調理員</v>
      </c>
      <c r="E90" s="2262"/>
      <c r="F90" s="2268"/>
      <c r="G90" s="2278"/>
      <c r="H90" s="2278"/>
      <c r="I90" s="837" t="str">
        <f t="shared" si="104"/>
        <v/>
      </c>
      <c r="J90" s="984" t="str">
        <f t="shared" si="118"/>
        <v/>
      </c>
      <c r="K90" s="1034"/>
      <c r="L90" s="859" t="str">
        <f t="shared" si="105"/>
        <v/>
      </c>
      <c r="M90" s="576">
        <f t="shared" si="106"/>
        <v>0</v>
      </c>
      <c r="N90" s="2619"/>
      <c r="O90" s="2620"/>
      <c r="P90" s="322"/>
      <c r="Q90" s="954"/>
      <c r="R90" s="954"/>
      <c r="S90" s="954"/>
      <c r="T90" s="465" t="str">
        <f t="shared" si="123"/>
        <v>調理員</v>
      </c>
      <c r="U90" s="970">
        <f t="shared" si="108"/>
        <v>0</v>
      </c>
      <c r="V90" s="968">
        <v>2</v>
      </c>
      <c r="W90" s="968" t="b">
        <f t="shared" si="121"/>
        <v>0</v>
      </c>
      <c r="X90" s="463" t="b">
        <f t="shared" ca="1" si="122"/>
        <v>0</v>
      </c>
      <c r="Y90" s="477" t="b">
        <f>COUNTIF($AC$25:AC89,AC90)+COUNTIF(AC91:$AC$124,AC90)-COUNTIF(Z90:AB90,AC90)=0</f>
        <v>0</v>
      </c>
      <c r="Z90" s="478" t="s">
        <v>874</v>
      </c>
      <c r="AA90" s="478" t="s">
        <v>874</v>
      </c>
      <c r="AB90" s="478" t="s">
        <v>874</v>
      </c>
      <c r="AC90" s="971">
        <f t="shared" si="110"/>
        <v>0</v>
      </c>
      <c r="AD90" s="463" t="b">
        <f t="shared" si="119"/>
        <v>0</v>
      </c>
      <c r="AE90" s="425" t="b">
        <f t="shared" si="112"/>
        <v>0</v>
      </c>
      <c r="AF90" s="968" t="str">
        <f t="shared" si="113"/>
        <v/>
      </c>
      <c r="AG90" s="478">
        <f t="shared" si="120"/>
        <v>0</v>
      </c>
      <c r="AH90" s="465">
        <v>2</v>
      </c>
      <c r="AI90" s="431">
        <f t="shared" si="115"/>
        <v>2</v>
      </c>
      <c r="AJ90" s="336">
        <f t="shared" si="116"/>
        <v>0</v>
      </c>
      <c r="AO90" s="338"/>
      <c r="AP90" s="338"/>
      <c r="AQ90" s="338"/>
      <c r="AR90" s="312">
        <f t="shared" si="103"/>
        <v>83</v>
      </c>
      <c r="AS90" s="1049" t="str">
        <f>AR90&amp;" "&amp;IF(AU90&lt;&gt;"-",【様式2】職員名簿!B119&amp;"/"&amp;AT90&amp;"/"&amp;AU90,"")</f>
        <v xml:space="preserve">83 </v>
      </c>
      <c r="AT90" s="1049">
        <f>【様式2】職員名簿!E119</f>
        <v>0</v>
      </c>
      <c r="AU90" s="1049" t="str">
        <f>IF(【様式2】職員名簿!J119="エラー","-",【様式2】職員名簿!J119)</f>
        <v>-</v>
      </c>
      <c r="AV90" s="430">
        <f>IF($AT90="常勤",$AM$2,IF($AT90="非常勤",【様式2】職員名簿!G119,0))</f>
        <v>0</v>
      </c>
      <c r="AW90" s="330">
        <f>IF($AU90=AW$3,COUNTIF($AU$8:$AU90,AW$3),0)</f>
        <v>0</v>
      </c>
      <c r="AX90" s="331" t="str">
        <f t="shared" si="124"/>
        <v/>
      </c>
      <c r="AY90" s="332">
        <f>IF($AU90=AY$3,COUNTIF($AU$8:$AU90,AY$3),0)</f>
        <v>0</v>
      </c>
      <c r="AZ90" s="331" t="str">
        <f t="shared" si="125"/>
        <v/>
      </c>
      <c r="BA90" s="332">
        <f>IF($AU90=BA$3,COUNTIFS($AU$8:$AU90,BA$3,$AT$8:$AT90,BA$4),0)</f>
        <v>0</v>
      </c>
      <c r="BB90" s="331" t="str">
        <f t="shared" si="126"/>
        <v/>
      </c>
      <c r="BC90" s="431">
        <f>IF($AU90=BC$3,COUNTIF($AU$8:$AU90,BC$3),0)</f>
        <v>0</v>
      </c>
      <c r="BD90" s="331" t="str">
        <f t="shared" si="127"/>
        <v/>
      </c>
      <c r="BE90" s="312">
        <f>IF(OR($AU90=BE$3,$AU90=BE$4),COUNTIF($AU$8:$AU90,BE$3)+COUNTIF($AU$8:$AU90,BE$4),0)</f>
        <v>0</v>
      </c>
      <c r="BF90" s="331" t="str">
        <f t="shared" si="128"/>
        <v/>
      </c>
      <c r="BG90" s="312">
        <f>IF($AU90=BG$3,COUNTIF($AU$8:$AU90,BG$3),0)</f>
        <v>0</v>
      </c>
      <c r="BH90" s="331" t="str">
        <f t="shared" si="129"/>
        <v/>
      </c>
      <c r="BI90" s="312">
        <f>IF($AU90&lt;&gt;BI$3,COUNTIF($AU$8:$AU90,"&lt;&gt;"&amp;BI$3),0)</f>
        <v>0</v>
      </c>
      <c r="BJ90" s="331" t="str">
        <f t="shared" si="130"/>
        <v/>
      </c>
      <c r="BK90" s="954"/>
      <c r="BL90" s="954"/>
    </row>
    <row r="91" spans="1:64" ht="15" hidden="1" customHeight="1">
      <c r="A91" s="1417"/>
      <c r="B91" s="2660"/>
      <c r="C91" s="2661"/>
      <c r="D91" s="2318" t="str">
        <f t="shared" si="117"/>
        <v>調理員</v>
      </c>
      <c r="E91" s="2319"/>
      <c r="F91" s="2316"/>
      <c r="G91" s="2317"/>
      <c r="H91" s="2317"/>
      <c r="I91" s="841" t="str">
        <f t="shared" si="104"/>
        <v/>
      </c>
      <c r="J91" s="829" t="str">
        <f t="shared" ref="J91:J103" si="131">IF(OR(F91=0,F91=""),"",IF(W91,IF(X91,IF(OR(Y91,V91=3),IF(AD91,IF(OR(AE91,V91=2,V91=3),"○","要常勤"),"時間無"),"重複"),"名簿無"),"対象外"))</f>
        <v/>
      </c>
      <c r="K91" s="1037"/>
      <c r="L91" s="902" t="str">
        <f t="shared" si="105"/>
        <v/>
      </c>
      <c r="M91" s="534">
        <f t="shared" si="106"/>
        <v>0</v>
      </c>
      <c r="N91" s="2681"/>
      <c r="O91" s="2682"/>
      <c r="P91" s="322"/>
      <c r="Q91" s="954"/>
      <c r="R91" s="954"/>
      <c r="S91" s="954"/>
      <c r="T91" s="465" t="str">
        <f t="shared" si="123"/>
        <v>調理員</v>
      </c>
      <c r="U91" s="970">
        <f t="shared" si="108"/>
        <v>0</v>
      </c>
      <c r="V91" s="968">
        <v>2</v>
      </c>
      <c r="W91" s="968" t="b">
        <f t="shared" si="121"/>
        <v>0</v>
      </c>
      <c r="X91" s="463" t="b">
        <f t="shared" ca="1" si="122"/>
        <v>0</v>
      </c>
      <c r="Y91" s="477" t="b">
        <f>COUNTIF($AC$25:AC90,AC91)+COUNTIF(AC92:$AC$124,AC91)-COUNTIF(Z91:AB91,AC91)=0</f>
        <v>0</v>
      </c>
      <c r="Z91" s="478" t="s">
        <v>874</v>
      </c>
      <c r="AA91" s="478" t="s">
        <v>874</v>
      </c>
      <c r="AB91" s="478" t="s">
        <v>874</v>
      </c>
      <c r="AC91" s="971">
        <f t="shared" si="110"/>
        <v>0</v>
      </c>
      <c r="AD91" s="463" t="b">
        <f t="shared" si="119"/>
        <v>0</v>
      </c>
      <c r="AE91" s="425" t="b">
        <f t="shared" si="112"/>
        <v>0</v>
      </c>
      <c r="AF91" s="968" t="str">
        <f t="shared" si="113"/>
        <v/>
      </c>
      <c r="AG91" s="478">
        <f t="shared" si="120"/>
        <v>0</v>
      </c>
      <c r="AH91" s="465">
        <v>2</v>
      </c>
      <c r="AI91" s="431">
        <f t="shared" si="115"/>
        <v>2</v>
      </c>
      <c r="AJ91" s="336">
        <f t="shared" si="116"/>
        <v>0</v>
      </c>
      <c r="AO91" s="338"/>
      <c r="AP91" s="338"/>
      <c r="AR91" s="312">
        <f t="shared" si="103"/>
        <v>84</v>
      </c>
      <c r="AS91" s="1049" t="str">
        <f>AR91&amp;" "&amp;IF(AU91&lt;&gt;"-",【様式2】職員名簿!B120&amp;"/"&amp;AT91&amp;"/"&amp;AU91,"")</f>
        <v xml:space="preserve">84 </v>
      </c>
      <c r="AT91" s="1049">
        <f>【様式2】職員名簿!E120</f>
        <v>0</v>
      </c>
      <c r="AU91" s="1049" t="str">
        <f>IF(【様式2】職員名簿!J120="エラー","-",【様式2】職員名簿!J120)</f>
        <v>-</v>
      </c>
      <c r="AV91" s="430">
        <f>IF($AT91="常勤",$AM$2,IF($AT91="非常勤",【様式2】職員名簿!G120,0))</f>
        <v>0</v>
      </c>
      <c r="AW91" s="330">
        <f>IF($AU91=AW$3,COUNTIF($AU$8:$AU91,AW$3),0)</f>
        <v>0</v>
      </c>
      <c r="AX91" s="331" t="str">
        <f t="shared" si="124"/>
        <v/>
      </c>
      <c r="AY91" s="332">
        <f>IF($AU91=AY$3,COUNTIF($AU$8:$AU91,AY$3),0)</f>
        <v>0</v>
      </c>
      <c r="AZ91" s="331" t="str">
        <f t="shared" si="125"/>
        <v/>
      </c>
      <c r="BA91" s="332">
        <f>IF($AU91=BA$3,COUNTIFS($AU$8:$AU91,BA$3,$AT$8:$AT91,BA$4),0)</f>
        <v>0</v>
      </c>
      <c r="BB91" s="331" t="str">
        <f t="shared" si="126"/>
        <v/>
      </c>
      <c r="BC91" s="431">
        <f>IF($AU91=BC$3,COUNTIF($AU$8:$AU91,BC$3),0)</f>
        <v>0</v>
      </c>
      <c r="BD91" s="331" t="str">
        <f t="shared" si="127"/>
        <v/>
      </c>
      <c r="BE91" s="312">
        <f>IF(OR($AU91=BE$3,$AU91=BE$4),COUNTIF($AU$8:$AU91,BE$3)+COUNTIF($AU$8:$AU91,BE$4),0)</f>
        <v>0</v>
      </c>
      <c r="BF91" s="331" t="str">
        <f t="shared" si="128"/>
        <v/>
      </c>
      <c r="BG91" s="312">
        <f>IF($AU91=BG$3,COUNTIF($AU$8:$AU91,BG$3),0)</f>
        <v>0</v>
      </c>
      <c r="BH91" s="331" t="str">
        <f t="shared" si="129"/>
        <v/>
      </c>
      <c r="BI91" s="312">
        <f>IF($AU91&lt;&gt;BI$3,COUNTIF($AU$8:$AU91,"&lt;&gt;"&amp;BI$3),0)</f>
        <v>0</v>
      </c>
      <c r="BJ91" s="331" t="str">
        <f t="shared" si="130"/>
        <v/>
      </c>
      <c r="BK91" s="954"/>
      <c r="BL91" s="954"/>
    </row>
    <row r="92" spans="1:64" ht="15" customHeight="1">
      <c r="A92" s="1411" t="s">
        <v>1083</v>
      </c>
      <c r="B92" s="1501"/>
      <c r="C92" s="1502"/>
      <c r="D92" s="2286" t="str">
        <f t="shared" si="117"/>
        <v>保育士</v>
      </c>
      <c r="E92" s="2287"/>
      <c r="F92" s="2328"/>
      <c r="G92" s="2329"/>
      <c r="H92" s="2329"/>
      <c r="I92" s="866" t="str">
        <f t="shared" si="104"/>
        <v/>
      </c>
      <c r="J92" s="833" t="str">
        <f t="shared" si="131"/>
        <v/>
      </c>
      <c r="K92" s="1038"/>
      <c r="L92" s="903" t="str">
        <f t="shared" si="105"/>
        <v/>
      </c>
      <c r="M92" s="577">
        <f t="shared" si="106"/>
        <v>0</v>
      </c>
      <c r="N92" s="2677">
        <f>SUM(M92:M96)</f>
        <v>0</v>
      </c>
      <c r="O92" s="2678"/>
      <c r="P92" s="322"/>
      <c r="Q92" s="954"/>
      <c r="R92" s="954"/>
      <c r="S92" s="954"/>
      <c r="T92" s="968" t="str">
        <f t="shared" ref="T92:T106" si="132">$AZ$6</f>
        <v>保育士</v>
      </c>
      <c r="U92" s="970">
        <f t="shared" si="108"/>
        <v>0</v>
      </c>
      <c r="V92" s="968">
        <v>2</v>
      </c>
      <c r="W92" s="968" t="b">
        <f t="shared" si="121"/>
        <v>0</v>
      </c>
      <c r="X92" s="463" t="b">
        <f t="shared" ca="1" si="122"/>
        <v>0</v>
      </c>
      <c r="Y92" s="477" t="b">
        <f>COUNTIF($AC$25:AC91,AC92)+COUNTIF(AC93:$AC$124,AC92)-COUNTIF(Z92:AB92,AC92)=0</f>
        <v>0</v>
      </c>
      <c r="Z92" s="478" t="s">
        <v>874</v>
      </c>
      <c r="AA92" s="478" t="s">
        <v>874</v>
      </c>
      <c r="AB92" s="478" t="s">
        <v>874</v>
      </c>
      <c r="AC92" s="971">
        <f t="shared" si="110"/>
        <v>0</v>
      </c>
      <c r="AD92" s="463" t="b">
        <f t="shared" si="119"/>
        <v>0</v>
      </c>
      <c r="AE92" s="425" t="b">
        <f t="shared" si="112"/>
        <v>0</v>
      </c>
      <c r="AF92" s="968" t="str">
        <f t="shared" si="113"/>
        <v/>
      </c>
      <c r="AG92" s="478">
        <f t="shared" si="120"/>
        <v>0</v>
      </c>
      <c r="AH92" s="465">
        <v>2</v>
      </c>
      <c r="AI92" s="431">
        <f t="shared" si="115"/>
        <v>2</v>
      </c>
      <c r="AJ92" s="336">
        <f t="shared" si="116"/>
        <v>0</v>
      </c>
      <c r="AO92" s="338"/>
      <c r="AP92" s="338"/>
      <c r="AQ92" s="338"/>
      <c r="AR92" s="312">
        <f t="shared" si="103"/>
        <v>85</v>
      </c>
      <c r="AS92" s="1049" t="str">
        <f>AR92&amp;" "&amp;IF(AU92&lt;&gt;"-",【様式2】職員名簿!B121&amp;"/"&amp;AT92&amp;"/"&amp;AU92,"")</f>
        <v xml:space="preserve">85 </v>
      </c>
      <c r="AT92" s="1049">
        <f>【様式2】職員名簿!E121</f>
        <v>0</v>
      </c>
      <c r="AU92" s="1049" t="str">
        <f>IF(【様式2】職員名簿!J121="エラー","-",【様式2】職員名簿!J121)</f>
        <v>-</v>
      </c>
      <c r="AV92" s="430">
        <f>IF($AT92="常勤",$AM$2,IF($AT92="非常勤",【様式2】職員名簿!G121,0))</f>
        <v>0</v>
      </c>
      <c r="AW92" s="330">
        <f>IF($AU92=AW$3,COUNTIF($AU$8:$AU92,AW$3),0)</f>
        <v>0</v>
      </c>
      <c r="AX92" s="331" t="str">
        <f t="shared" si="124"/>
        <v/>
      </c>
      <c r="AY92" s="332">
        <f>IF($AU92=AY$3,COUNTIF($AU$8:$AU92,AY$3),0)</f>
        <v>0</v>
      </c>
      <c r="AZ92" s="331" t="str">
        <f t="shared" si="125"/>
        <v/>
      </c>
      <c r="BA92" s="332">
        <f>IF($AU92=BA$3,COUNTIFS($AU$8:$AU92,BA$3,$AT$8:$AT92,BA$4),0)</f>
        <v>0</v>
      </c>
      <c r="BB92" s="331" t="str">
        <f t="shared" si="126"/>
        <v/>
      </c>
      <c r="BC92" s="431">
        <f>IF($AU92=BC$3,COUNTIF($AU$8:$AU92,BC$3),0)</f>
        <v>0</v>
      </c>
      <c r="BD92" s="331" t="str">
        <f t="shared" si="127"/>
        <v/>
      </c>
      <c r="BE92" s="312">
        <f>IF(OR($AU92=BE$3,$AU92=BE$4),COUNTIF($AU$8:$AU92,BE$3)+COUNTIF($AU$8:$AU92,BE$4),0)</f>
        <v>0</v>
      </c>
      <c r="BF92" s="331" t="str">
        <f t="shared" si="128"/>
        <v/>
      </c>
      <c r="BG92" s="312">
        <f>IF($AU92=BG$3,COUNTIF($AU$8:$AU92,BG$3),0)</f>
        <v>0</v>
      </c>
      <c r="BH92" s="331" t="str">
        <f t="shared" si="129"/>
        <v/>
      </c>
      <c r="BI92" s="312">
        <f>IF($AU92&lt;&gt;BI$3,COUNTIF($AU$8:$AU92,"&lt;&gt;"&amp;BI$3),0)</f>
        <v>0</v>
      </c>
      <c r="BJ92" s="331" t="str">
        <f t="shared" si="130"/>
        <v/>
      </c>
      <c r="BK92" s="954"/>
      <c r="BL92" s="954"/>
    </row>
    <row r="93" spans="1:64" ht="15" customHeight="1">
      <c r="A93" s="1809"/>
      <c r="B93" s="1707"/>
      <c r="C93" s="2285"/>
      <c r="D93" s="2261" t="str">
        <f t="shared" si="117"/>
        <v>保育士</v>
      </c>
      <c r="E93" s="2262"/>
      <c r="F93" s="2268"/>
      <c r="G93" s="2278"/>
      <c r="H93" s="2278"/>
      <c r="I93" s="837" t="str">
        <f t="shared" si="104"/>
        <v/>
      </c>
      <c r="J93" s="984" t="str">
        <f t="shared" si="131"/>
        <v/>
      </c>
      <c r="K93" s="1034"/>
      <c r="L93" s="859" t="str">
        <f t="shared" si="105"/>
        <v/>
      </c>
      <c r="M93" s="576">
        <f t="shared" si="106"/>
        <v>0</v>
      </c>
      <c r="N93" s="2619"/>
      <c r="O93" s="2620"/>
      <c r="P93" s="322"/>
      <c r="Q93" s="954"/>
      <c r="R93" s="954"/>
      <c r="S93" s="954"/>
      <c r="T93" s="968" t="str">
        <f t="shared" si="132"/>
        <v>保育士</v>
      </c>
      <c r="U93" s="970">
        <f t="shared" si="108"/>
        <v>0</v>
      </c>
      <c r="V93" s="968">
        <v>2</v>
      </c>
      <c r="W93" s="968" t="b">
        <f t="shared" si="121"/>
        <v>0</v>
      </c>
      <c r="X93" s="463" t="b">
        <f t="shared" ca="1" si="122"/>
        <v>0</v>
      </c>
      <c r="Y93" s="477" t="b">
        <f>COUNTIF($AC$25:AC92,AC93)+COUNTIF(AC94:$AC$124,AC93)-COUNTIF(Z93:AB93,AC93)=0</f>
        <v>0</v>
      </c>
      <c r="Z93" s="478" t="s">
        <v>874</v>
      </c>
      <c r="AA93" s="478" t="s">
        <v>874</v>
      </c>
      <c r="AB93" s="478" t="s">
        <v>874</v>
      </c>
      <c r="AC93" s="971">
        <f t="shared" si="110"/>
        <v>0</v>
      </c>
      <c r="AD93" s="463" t="b">
        <f t="shared" si="119"/>
        <v>0</v>
      </c>
      <c r="AE93" s="425" t="b">
        <f t="shared" si="112"/>
        <v>0</v>
      </c>
      <c r="AF93" s="968" t="str">
        <f t="shared" si="113"/>
        <v/>
      </c>
      <c r="AG93" s="478">
        <f t="shared" si="120"/>
        <v>0</v>
      </c>
      <c r="AH93" s="465">
        <v>2</v>
      </c>
      <c r="AI93" s="431">
        <f t="shared" si="115"/>
        <v>2</v>
      </c>
      <c r="AJ93" s="336">
        <f t="shared" si="116"/>
        <v>0</v>
      </c>
      <c r="AM93" s="310"/>
      <c r="AO93" s="338"/>
      <c r="AP93" s="338"/>
      <c r="AQ93" s="338"/>
      <c r="AR93" s="312">
        <f t="shared" si="103"/>
        <v>86</v>
      </c>
      <c r="AS93" s="1049" t="str">
        <f>AR93&amp;" "&amp;IF(AU93&lt;&gt;"-",【様式2】職員名簿!B122&amp;"/"&amp;AT93&amp;"/"&amp;AU93,"")</f>
        <v xml:space="preserve">86 </v>
      </c>
      <c r="AT93" s="1049">
        <f>【様式2】職員名簿!E122</f>
        <v>0</v>
      </c>
      <c r="AU93" s="1049" t="str">
        <f>IF(【様式2】職員名簿!J122="エラー","-",【様式2】職員名簿!J122)</f>
        <v>-</v>
      </c>
      <c r="AV93" s="430">
        <f>IF($AT93="常勤",$AM$2,IF($AT93="非常勤",【様式2】職員名簿!G122,0))</f>
        <v>0</v>
      </c>
      <c r="AW93" s="330">
        <f>IF($AU93=AW$3,COUNTIF($AU$8:$AU93,AW$3),0)</f>
        <v>0</v>
      </c>
      <c r="AX93" s="331" t="str">
        <f t="shared" si="124"/>
        <v/>
      </c>
      <c r="AY93" s="332">
        <f>IF($AU93=AY$3,COUNTIF($AU$8:$AU93,AY$3),0)</f>
        <v>0</v>
      </c>
      <c r="AZ93" s="331" t="str">
        <f t="shared" si="125"/>
        <v/>
      </c>
      <c r="BA93" s="332">
        <f>IF($AU93=BA$3,COUNTIFS($AU$8:$AU93,BA$3,$AT$8:$AT93,BA$4),0)</f>
        <v>0</v>
      </c>
      <c r="BB93" s="331" t="str">
        <f t="shared" si="126"/>
        <v/>
      </c>
      <c r="BC93" s="431">
        <f>IF($AU93=BC$3,COUNTIF($AU$8:$AU93,BC$3),0)</f>
        <v>0</v>
      </c>
      <c r="BD93" s="331" t="str">
        <f t="shared" si="127"/>
        <v/>
      </c>
      <c r="BE93" s="312">
        <f>IF(OR($AU93=BE$3,$AU93=BE$4),COUNTIF($AU$8:$AU93,BE$3)+COUNTIF($AU$8:$AU93,BE$4),0)</f>
        <v>0</v>
      </c>
      <c r="BF93" s="331" t="str">
        <f t="shared" si="128"/>
        <v/>
      </c>
      <c r="BG93" s="312">
        <f>IF($AU93=BG$3,COUNTIF($AU$8:$AU93,BG$3),0)</f>
        <v>0</v>
      </c>
      <c r="BH93" s="331" t="str">
        <f t="shared" si="129"/>
        <v/>
      </c>
      <c r="BI93" s="312">
        <f>IF($AU93&lt;&gt;BI$3,COUNTIF($AU$8:$AU93,"&lt;&gt;"&amp;BI$3),0)</f>
        <v>0</v>
      </c>
      <c r="BJ93" s="331" t="str">
        <f t="shared" si="130"/>
        <v/>
      </c>
      <c r="BK93" s="954"/>
      <c r="BL93" s="954"/>
    </row>
    <row r="94" spans="1:64" ht="15" customHeight="1">
      <c r="A94" s="1809"/>
      <c r="B94" s="1707"/>
      <c r="C94" s="2285"/>
      <c r="D94" s="2261" t="str">
        <f t="shared" si="117"/>
        <v>保育士</v>
      </c>
      <c r="E94" s="2262"/>
      <c r="F94" s="2268"/>
      <c r="G94" s="2278"/>
      <c r="H94" s="2278"/>
      <c r="I94" s="837" t="str">
        <f t="shared" si="104"/>
        <v/>
      </c>
      <c r="J94" s="984" t="str">
        <f t="shared" si="131"/>
        <v/>
      </c>
      <c r="K94" s="1034"/>
      <c r="L94" s="859" t="str">
        <f t="shared" si="105"/>
        <v/>
      </c>
      <c r="M94" s="576">
        <f t="shared" si="106"/>
        <v>0</v>
      </c>
      <c r="N94" s="2619"/>
      <c r="O94" s="2620"/>
      <c r="P94" s="322"/>
      <c r="Q94" s="954"/>
      <c r="R94" s="954"/>
      <c r="S94" s="954"/>
      <c r="T94" s="968" t="str">
        <f t="shared" si="132"/>
        <v>保育士</v>
      </c>
      <c r="U94" s="970">
        <f t="shared" si="108"/>
        <v>0</v>
      </c>
      <c r="V94" s="968">
        <v>2</v>
      </c>
      <c r="W94" s="968" t="b">
        <f t="shared" si="121"/>
        <v>0</v>
      </c>
      <c r="X94" s="463" t="b">
        <f t="shared" ca="1" si="122"/>
        <v>0</v>
      </c>
      <c r="Y94" s="477" t="b">
        <f>COUNTIF($AC$25:AC93,AC94)+COUNTIF(AC95:$AC$124,AC94)-COUNTIF(Z94:AB94,AC94)=0</f>
        <v>0</v>
      </c>
      <c r="Z94" s="478" t="s">
        <v>874</v>
      </c>
      <c r="AA94" s="478" t="s">
        <v>874</v>
      </c>
      <c r="AB94" s="478" t="s">
        <v>874</v>
      </c>
      <c r="AC94" s="971">
        <f t="shared" si="110"/>
        <v>0</v>
      </c>
      <c r="AD94" s="463" t="b">
        <f t="shared" si="119"/>
        <v>0</v>
      </c>
      <c r="AE94" s="425" t="b">
        <f t="shared" si="112"/>
        <v>0</v>
      </c>
      <c r="AF94" s="968" t="str">
        <f t="shared" si="113"/>
        <v/>
      </c>
      <c r="AG94" s="478">
        <f t="shared" si="120"/>
        <v>0</v>
      </c>
      <c r="AH94" s="465">
        <v>2</v>
      </c>
      <c r="AI94" s="431">
        <f t="shared" si="115"/>
        <v>2</v>
      </c>
      <c r="AJ94" s="336">
        <f t="shared" si="116"/>
        <v>0</v>
      </c>
      <c r="AQ94" s="339"/>
      <c r="AR94" s="312">
        <f t="shared" si="103"/>
        <v>87</v>
      </c>
      <c r="AS94" s="1049" t="str">
        <f>AR94&amp;" "&amp;IF(AU94&lt;&gt;"-",【様式2】職員名簿!B123&amp;"/"&amp;AT94&amp;"/"&amp;AU94,"")</f>
        <v xml:space="preserve">87 </v>
      </c>
      <c r="AT94" s="1049">
        <f>【様式2】職員名簿!E123</f>
        <v>0</v>
      </c>
      <c r="AU94" s="1049" t="str">
        <f>IF(【様式2】職員名簿!J123="エラー","-",【様式2】職員名簿!J123)</f>
        <v>-</v>
      </c>
      <c r="AV94" s="430">
        <f>IF($AT94="常勤",$AM$2,IF($AT94="非常勤",【様式2】職員名簿!G123,0))</f>
        <v>0</v>
      </c>
      <c r="AW94" s="330">
        <f>IF($AU94=AW$3,COUNTIF($AU$8:$AU94,AW$3),0)</f>
        <v>0</v>
      </c>
      <c r="AX94" s="331" t="str">
        <f t="shared" si="124"/>
        <v/>
      </c>
      <c r="AY94" s="332">
        <f>IF($AU94=AY$3,COUNTIF($AU$8:$AU94,AY$3),0)</f>
        <v>0</v>
      </c>
      <c r="AZ94" s="331" t="str">
        <f t="shared" si="125"/>
        <v/>
      </c>
      <c r="BA94" s="332">
        <f>IF($AU94=BA$3,COUNTIFS($AU$8:$AU94,BA$3,$AT$8:$AT94,BA$4),0)</f>
        <v>0</v>
      </c>
      <c r="BB94" s="331" t="str">
        <f t="shared" si="126"/>
        <v/>
      </c>
      <c r="BC94" s="431">
        <f>IF($AU94=BC$3,COUNTIF($AU$8:$AU94,BC$3),0)</f>
        <v>0</v>
      </c>
      <c r="BD94" s="331" t="str">
        <f t="shared" si="127"/>
        <v/>
      </c>
      <c r="BE94" s="312">
        <f>IF(OR($AU94=BE$3,$AU94=BE$4),COUNTIF($AU$8:$AU94,BE$3)+COUNTIF($AU$8:$AU94,BE$4),0)</f>
        <v>0</v>
      </c>
      <c r="BF94" s="331" t="str">
        <f t="shared" si="128"/>
        <v/>
      </c>
      <c r="BG94" s="312">
        <f>IF($AU94=BG$3,COUNTIF($AU$8:$AU94,BG$3),0)</f>
        <v>0</v>
      </c>
      <c r="BH94" s="331" t="str">
        <f t="shared" si="129"/>
        <v/>
      </c>
      <c r="BI94" s="312">
        <f>IF($AU94&lt;&gt;BI$3,COUNTIF($AU$8:$AU94,"&lt;&gt;"&amp;BI$3),0)</f>
        <v>0</v>
      </c>
      <c r="BJ94" s="331" t="str">
        <f t="shared" si="130"/>
        <v/>
      </c>
      <c r="BK94" s="954"/>
      <c r="BL94" s="954"/>
    </row>
    <row r="95" spans="1:64" ht="15" customHeight="1">
      <c r="A95" s="1809"/>
      <c r="B95" s="1707"/>
      <c r="C95" s="2285"/>
      <c r="D95" s="2261" t="str">
        <f t="shared" si="117"/>
        <v>保育士</v>
      </c>
      <c r="E95" s="2262"/>
      <c r="F95" s="2268"/>
      <c r="G95" s="2278"/>
      <c r="H95" s="2278"/>
      <c r="I95" s="837" t="str">
        <f t="shared" si="104"/>
        <v/>
      </c>
      <c r="J95" s="984" t="str">
        <f t="shared" si="131"/>
        <v/>
      </c>
      <c r="K95" s="1034"/>
      <c r="L95" s="859" t="str">
        <f t="shared" si="105"/>
        <v/>
      </c>
      <c r="M95" s="576">
        <f t="shared" si="106"/>
        <v>0</v>
      </c>
      <c r="N95" s="2619"/>
      <c r="O95" s="2620"/>
      <c r="P95" s="322"/>
      <c r="Q95" s="954"/>
      <c r="R95" s="954"/>
      <c r="S95" s="954"/>
      <c r="T95" s="968" t="str">
        <f t="shared" si="132"/>
        <v>保育士</v>
      </c>
      <c r="U95" s="970">
        <f t="shared" si="108"/>
        <v>0</v>
      </c>
      <c r="V95" s="968">
        <v>2</v>
      </c>
      <c r="W95" s="968" t="b">
        <f t="shared" si="121"/>
        <v>0</v>
      </c>
      <c r="X95" s="463" t="b">
        <f t="shared" ca="1" si="122"/>
        <v>0</v>
      </c>
      <c r="Y95" s="477" t="b">
        <f>COUNTIF($AC$25:AC94,AC95)+COUNTIF(AC96:$AC$124,AC95)-COUNTIF(Z95:AB95,AC95)=0</f>
        <v>0</v>
      </c>
      <c r="Z95" s="478" t="s">
        <v>874</v>
      </c>
      <c r="AA95" s="478" t="s">
        <v>874</v>
      </c>
      <c r="AB95" s="478" t="s">
        <v>874</v>
      </c>
      <c r="AC95" s="971">
        <f t="shared" si="110"/>
        <v>0</v>
      </c>
      <c r="AD95" s="463" t="b">
        <f t="shared" si="119"/>
        <v>0</v>
      </c>
      <c r="AE95" s="425" t="b">
        <f t="shared" si="112"/>
        <v>0</v>
      </c>
      <c r="AF95" s="968" t="str">
        <f t="shared" si="113"/>
        <v/>
      </c>
      <c r="AG95" s="478">
        <f t="shared" si="120"/>
        <v>0</v>
      </c>
      <c r="AH95" s="465">
        <v>2</v>
      </c>
      <c r="AI95" s="431">
        <f t="shared" si="115"/>
        <v>2</v>
      </c>
      <c r="AJ95" s="336">
        <f t="shared" si="116"/>
        <v>0</v>
      </c>
      <c r="AO95" s="338"/>
      <c r="AP95" s="338"/>
      <c r="AQ95" s="339"/>
      <c r="AR95" s="312">
        <f t="shared" si="103"/>
        <v>88</v>
      </c>
      <c r="AS95" s="1049" t="str">
        <f>AR95&amp;" "&amp;IF(AU95&lt;&gt;"-",【様式2】職員名簿!B124&amp;"/"&amp;AT95&amp;"/"&amp;AU95,"")</f>
        <v xml:space="preserve">88 </v>
      </c>
      <c r="AT95" s="1049">
        <f>【様式2】職員名簿!E124</f>
        <v>0</v>
      </c>
      <c r="AU95" s="1049" t="str">
        <f>IF(【様式2】職員名簿!J124="エラー","-",【様式2】職員名簿!J124)</f>
        <v>-</v>
      </c>
      <c r="AV95" s="430">
        <f>IF($AT95="常勤",$AM$2,IF($AT95="非常勤",【様式2】職員名簿!G124,0))</f>
        <v>0</v>
      </c>
      <c r="AW95" s="330">
        <f>IF($AU95=AW$3,COUNTIF($AU$8:$AU95,AW$3),0)</f>
        <v>0</v>
      </c>
      <c r="AX95" s="331" t="str">
        <f t="shared" si="124"/>
        <v/>
      </c>
      <c r="AY95" s="332">
        <f>IF($AU95=AY$3,COUNTIF($AU$8:$AU95,AY$3),0)</f>
        <v>0</v>
      </c>
      <c r="AZ95" s="331" t="str">
        <f t="shared" si="125"/>
        <v/>
      </c>
      <c r="BA95" s="332">
        <f>IF($AU95=BA$3,COUNTIFS($AU$8:$AU95,BA$3,$AT$8:$AT95,BA$4),0)</f>
        <v>0</v>
      </c>
      <c r="BB95" s="331" t="str">
        <f t="shared" si="126"/>
        <v/>
      </c>
      <c r="BC95" s="431">
        <f>IF($AU95=BC$3,COUNTIF($AU$8:$AU95,BC$3),0)</f>
        <v>0</v>
      </c>
      <c r="BD95" s="331" t="str">
        <f t="shared" si="127"/>
        <v/>
      </c>
      <c r="BE95" s="312">
        <f>IF(OR($AU95=BE$3,$AU95=BE$4),COUNTIF($AU$8:$AU95,BE$3)+COUNTIF($AU$8:$AU95,BE$4),0)</f>
        <v>0</v>
      </c>
      <c r="BF95" s="331" t="str">
        <f t="shared" si="128"/>
        <v/>
      </c>
      <c r="BG95" s="312">
        <f>IF($AU95=BG$3,COUNTIF($AU$8:$AU95,BG$3),0)</f>
        <v>0</v>
      </c>
      <c r="BH95" s="331" t="str">
        <f t="shared" si="129"/>
        <v/>
      </c>
      <c r="BI95" s="312">
        <f>IF($AU95&lt;&gt;BI$3,COUNTIF($AU$8:$AU95,"&lt;&gt;"&amp;BI$3),0)</f>
        <v>0</v>
      </c>
      <c r="BJ95" s="331" t="str">
        <f t="shared" si="130"/>
        <v/>
      </c>
      <c r="BK95" s="954"/>
      <c r="BL95" s="954"/>
    </row>
    <row r="96" spans="1:64" ht="15" customHeight="1">
      <c r="A96" s="1699"/>
      <c r="B96" s="1700"/>
      <c r="C96" s="1701"/>
      <c r="D96" s="2318" t="str">
        <f t="shared" si="117"/>
        <v>保育士</v>
      </c>
      <c r="E96" s="2319"/>
      <c r="F96" s="2316"/>
      <c r="G96" s="2317"/>
      <c r="H96" s="2317"/>
      <c r="I96" s="841" t="str">
        <f t="shared" si="104"/>
        <v/>
      </c>
      <c r="J96" s="829" t="str">
        <f t="shared" si="131"/>
        <v/>
      </c>
      <c r="K96" s="1037"/>
      <c r="L96" s="902" t="str">
        <f t="shared" si="105"/>
        <v/>
      </c>
      <c r="M96" s="534">
        <f t="shared" si="106"/>
        <v>0</v>
      </c>
      <c r="N96" s="2681"/>
      <c r="O96" s="2682"/>
      <c r="P96" s="322"/>
      <c r="Q96" s="954"/>
      <c r="R96" s="954"/>
      <c r="S96" s="954"/>
      <c r="T96" s="968" t="str">
        <f t="shared" si="132"/>
        <v>保育士</v>
      </c>
      <c r="U96" s="970">
        <f t="shared" si="108"/>
        <v>0</v>
      </c>
      <c r="V96" s="968">
        <v>2</v>
      </c>
      <c r="W96" s="968" t="b">
        <f t="shared" si="121"/>
        <v>0</v>
      </c>
      <c r="X96" s="463" t="b">
        <f t="shared" ca="1" si="122"/>
        <v>0</v>
      </c>
      <c r="Y96" s="477" t="b">
        <f>COUNTIF($AC$25:AC95,AC96)+COUNTIF(AC97:$AC$124,AC96)-COUNTIF(Z96:AB96,AC96)=0</f>
        <v>0</v>
      </c>
      <c r="Z96" s="478" t="s">
        <v>874</v>
      </c>
      <c r="AA96" s="478" t="s">
        <v>874</v>
      </c>
      <c r="AB96" s="478" t="s">
        <v>874</v>
      </c>
      <c r="AC96" s="971">
        <f t="shared" si="110"/>
        <v>0</v>
      </c>
      <c r="AD96" s="463" t="b">
        <f t="shared" si="119"/>
        <v>0</v>
      </c>
      <c r="AE96" s="425" t="b">
        <f t="shared" si="112"/>
        <v>0</v>
      </c>
      <c r="AF96" s="968" t="str">
        <f t="shared" si="113"/>
        <v/>
      </c>
      <c r="AG96" s="478">
        <f t="shared" si="120"/>
        <v>0</v>
      </c>
      <c r="AH96" s="465">
        <v>2</v>
      </c>
      <c r="AI96" s="431">
        <f t="shared" si="115"/>
        <v>2</v>
      </c>
      <c r="AJ96" s="336">
        <f t="shared" si="116"/>
        <v>0</v>
      </c>
      <c r="AO96" s="338"/>
      <c r="AP96" s="338"/>
      <c r="AQ96" s="339"/>
      <c r="AR96" s="312">
        <f t="shared" si="103"/>
        <v>89</v>
      </c>
      <c r="AS96" s="1049" t="str">
        <f>AR96&amp;" "&amp;IF(AU96&lt;&gt;"-",【様式2】職員名簿!B125&amp;"/"&amp;AT96&amp;"/"&amp;AU96,"")</f>
        <v xml:space="preserve">89 </v>
      </c>
      <c r="AT96" s="1049">
        <f>【様式2】職員名簿!E125</f>
        <v>0</v>
      </c>
      <c r="AU96" s="1049" t="str">
        <f>IF(【様式2】職員名簿!J125="エラー","-",【様式2】職員名簿!J125)</f>
        <v>-</v>
      </c>
      <c r="AV96" s="430">
        <f>IF($AT96="常勤",$AM$2,IF($AT96="非常勤",【様式2】職員名簿!G125,0))</f>
        <v>0</v>
      </c>
      <c r="AW96" s="330">
        <f>IF($AU96=AW$3,COUNTIF($AU$8:$AU96,AW$3),0)</f>
        <v>0</v>
      </c>
      <c r="AX96" s="331" t="str">
        <f t="shared" si="124"/>
        <v/>
      </c>
      <c r="AY96" s="332">
        <f>IF($AU96=AY$3,COUNTIF($AU$8:$AU96,AY$3),0)</f>
        <v>0</v>
      </c>
      <c r="AZ96" s="331" t="str">
        <f t="shared" si="125"/>
        <v/>
      </c>
      <c r="BA96" s="332">
        <f>IF($AU96=BA$3,COUNTIFS($AU$8:$AU96,BA$3,$AT$8:$AT96,BA$4),0)</f>
        <v>0</v>
      </c>
      <c r="BB96" s="331" t="str">
        <f t="shared" si="126"/>
        <v/>
      </c>
      <c r="BC96" s="431">
        <f>IF($AU96=BC$3,COUNTIF($AU$8:$AU96,BC$3),0)</f>
        <v>0</v>
      </c>
      <c r="BD96" s="331" t="str">
        <f t="shared" si="127"/>
        <v/>
      </c>
      <c r="BE96" s="312">
        <f>IF(OR($AU96=BE$3,$AU96=BE$4),COUNTIF($AU$8:$AU96,BE$3)+COUNTIF($AU$8:$AU96,BE$4),0)</f>
        <v>0</v>
      </c>
      <c r="BF96" s="331" t="str">
        <f t="shared" si="128"/>
        <v/>
      </c>
      <c r="BG96" s="312">
        <f>IF($AU96=BG$3,COUNTIF($AU$8:$AU96,BG$3),0)</f>
        <v>0</v>
      </c>
      <c r="BH96" s="331" t="str">
        <f t="shared" si="129"/>
        <v/>
      </c>
      <c r="BI96" s="312">
        <f>IF($AU96&lt;&gt;BI$3,COUNTIF($AU$8:$AU96,"&lt;&gt;"&amp;BI$3),0)</f>
        <v>0</v>
      </c>
      <c r="BJ96" s="331" t="str">
        <f t="shared" si="130"/>
        <v/>
      </c>
      <c r="BK96" s="954"/>
      <c r="BL96" s="954"/>
    </row>
    <row r="97" spans="1:64" ht="15" customHeight="1">
      <c r="A97" s="2451" t="s">
        <v>999</v>
      </c>
      <c r="B97" s="2452"/>
      <c r="C97" s="2453"/>
      <c r="D97" s="2286" t="str">
        <f t="shared" si="117"/>
        <v>保育士</v>
      </c>
      <c r="E97" s="2287"/>
      <c r="F97" s="2328"/>
      <c r="G97" s="2329"/>
      <c r="H97" s="2329"/>
      <c r="I97" s="866" t="str">
        <f t="shared" si="104"/>
        <v/>
      </c>
      <c r="J97" s="833" t="str">
        <f t="shared" ref="J97:J101" si="133">IF(OR(F97=0,F97=""),"",IF(W97,IF(X97,IF(OR(Y97,V97=3),IF(AD97,IF(OR(AE97,V97=2,V97=3),"○","要常勤"),"時間無"),"重複"),"名簿無"),"対象外"))</f>
        <v/>
      </c>
      <c r="K97" s="1038"/>
      <c r="L97" s="903" t="str">
        <f t="shared" si="105"/>
        <v/>
      </c>
      <c r="M97" s="577">
        <f t="shared" si="106"/>
        <v>0</v>
      </c>
      <c r="N97" s="2677">
        <f>SUM(M97:M101)</f>
        <v>0</v>
      </c>
      <c r="O97" s="2678"/>
      <c r="P97" s="322"/>
      <c r="Q97" s="954"/>
      <c r="R97" s="954"/>
      <c r="S97" s="954"/>
      <c r="T97" s="968" t="str">
        <f t="shared" si="132"/>
        <v>保育士</v>
      </c>
      <c r="U97" s="970">
        <f t="shared" si="108"/>
        <v>0</v>
      </c>
      <c r="V97" s="968">
        <v>2</v>
      </c>
      <c r="W97" s="968" t="b">
        <f t="shared" si="121"/>
        <v>0</v>
      </c>
      <c r="X97" s="463" t="b">
        <f t="shared" ca="1" si="122"/>
        <v>0</v>
      </c>
      <c r="Y97" s="477" t="b">
        <f>COUNTIF($AC$25:AC96,AC97)+COUNTIF(AC98:$AC$124,AC97)-COUNTIF(Z97:AB97,AC97)=0</f>
        <v>0</v>
      </c>
      <c r="Z97" s="478" t="s">
        <v>874</v>
      </c>
      <c r="AA97" s="478" t="s">
        <v>874</v>
      </c>
      <c r="AB97" s="478" t="s">
        <v>874</v>
      </c>
      <c r="AC97" s="971">
        <f t="shared" si="110"/>
        <v>0</v>
      </c>
      <c r="AD97" s="463" t="b">
        <f t="shared" si="119"/>
        <v>0</v>
      </c>
      <c r="AE97" s="425" t="b">
        <f t="shared" si="112"/>
        <v>0</v>
      </c>
      <c r="AF97" s="968" t="str">
        <f t="shared" si="113"/>
        <v/>
      </c>
      <c r="AG97" s="478">
        <f t="shared" si="120"/>
        <v>0</v>
      </c>
      <c r="AH97" s="465">
        <v>2</v>
      </c>
      <c r="AI97" s="431">
        <f t="shared" si="115"/>
        <v>2</v>
      </c>
      <c r="AJ97" s="336">
        <f t="shared" si="116"/>
        <v>0</v>
      </c>
      <c r="AL97" s="310"/>
      <c r="AO97" s="338"/>
      <c r="AP97" s="338"/>
      <c r="AQ97" s="339"/>
      <c r="AR97" s="312">
        <f t="shared" si="103"/>
        <v>90</v>
      </c>
      <c r="AS97" s="1049" t="str">
        <f>AR97&amp;" "&amp;IF(AU97&lt;&gt;"-",【様式2】職員名簿!B126&amp;"/"&amp;AT97&amp;"/"&amp;AU97,"")</f>
        <v xml:space="preserve">90 </v>
      </c>
      <c r="AT97" s="1049">
        <f>【様式2】職員名簿!E126</f>
        <v>0</v>
      </c>
      <c r="AU97" s="1049" t="str">
        <f>IF(【様式2】職員名簿!J126="エラー","-",【様式2】職員名簿!J126)</f>
        <v>-</v>
      </c>
      <c r="AV97" s="430">
        <f>IF($AT97="常勤",$AM$2,IF($AT97="非常勤",【様式2】職員名簿!G126,0))</f>
        <v>0</v>
      </c>
      <c r="AW97" s="330">
        <f>IF($AU97=AW$3,COUNTIF($AU$8:$AU97,AW$3),0)</f>
        <v>0</v>
      </c>
      <c r="AX97" s="331" t="str">
        <f t="shared" si="124"/>
        <v/>
      </c>
      <c r="AY97" s="332">
        <f>IF($AU97=AY$3,COUNTIF($AU$8:$AU97,AY$3),0)</f>
        <v>0</v>
      </c>
      <c r="AZ97" s="331" t="str">
        <f t="shared" si="125"/>
        <v/>
      </c>
      <c r="BA97" s="332">
        <f>IF($AU97=BA$3,COUNTIFS($AU$8:$AU97,BA$3,$AT$8:$AT97,BA$4),0)</f>
        <v>0</v>
      </c>
      <c r="BB97" s="331" t="str">
        <f t="shared" si="126"/>
        <v/>
      </c>
      <c r="BC97" s="431">
        <f>IF($AU97=BC$3,COUNTIF($AU$8:$AU97,BC$3),0)</f>
        <v>0</v>
      </c>
      <c r="BD97" s="331" t="str">
        <f t="shared" si="127"/>
        <v/>
      </c>
      <c r="BE97" s="312">
        <f>IF(OR($AU97=BE$3,$AU97=BE$4),COUNTIF($AU$8:$AU97,BE$3)+COUNTIF($AU$8:$AU97,BE$4),0)</f>
        <v>0</v>
      </c>
      <c r="BF97" s="331" t="str">
        <f t="shared" si="128"/>
        <v/>
      </c>
      <c r="BG97" s="312">
        <f>IF($AU97=BG$3,COUNTIF($AU$8:$AU97,BG$3),0)</f>
        <v>0</v>
      </c>
      <c r="BH97" s="331" t="str">
        <f t="shared" si="129"/>
        <v/>
      </c>
      <c r="BI97" s="312">
        <f>IF($AU97&lt;&gt;BI$3,COUNTIF($AU$8:$AU97,"&lt;&gt;"&amp;BI$3),0)</f>
        <v>0</v>
      </c>
      <c r="BJ97" s="331" t="str">
        <f t="shared" si="130"/>
        <v/>
      </c>
      <c r="BK97" s="954"/>
      <c r="BL97" s="954"/>
    </row>
    <row r="98" spans="1:64" ht="15" customHeight="1">
      <c r="A98" s="2454"/>
      <c r="B98" s="2455"/>
      <c r="C98" s="2456"/>
      <c r="D98" s="2261" t="str">
        <f t="shared" si="117"/>
        <v>保育士</v>
      </c>
      <c r="E98" s="2262"/>
      <c r="F98" s="2268"/>
      <c r="G98" s="2278"/>
      <c r="H98" s="2278"/>
      <c r="I98" s="837" t="str">
        <f t="shared" si="104"/>
        <v/>
      </c>
      <c r="J98" s="984" t="str">
        <f t="shared" si="133"/>
        <v/>
      </c>
      <c r="K98" s="1034"/>
      <c r="L98" s="859" t="str">
        <f t="shared" si="105"/>
        <v/>
      </c>
      <c r="M98" s="576">
        <f t="shared" si="106"/>
        <v>0</v>
      </c>
      <c r="N98" s="2619"/>
      <c r="O98" s="2620"/>
      <c r="P98" s="322"/>
      <c r="Q98" s="954"/>
      <c r="R98" s="954"/>
      <c r="S98" s="954"/>
      <c r="T98" s="968" t="str">
        <f t="shared" si="132"/>
        <v>保育士</v>
      </c>
      <c r="U98" s="970">
        <f t="shared" si="108"/>
        <v>0</v>
      </c>
      <c r="V98" s="968">
        <v>2</v>
      </c>
      <c r="W98" s="968" t="b">
        <f t="shared" si="121"/>
        <v>0</v>
      </c>
      <c r="X98" s="463" t="b">
        <f t="shared" ca="1" si="122"/>
        <v>0</v>
      </c>
      <c r="Y98" s="477" t="b">
        <f>COUNTIF($AC$25:AC97,AC98)+COUNTIF(AC99:$AC$124,AC98)-COUNTIF(Z98:AB98,AC98)=0</f>
        <v>0</v>
      </c>
      <c r="Z98" s="478" t="s">
        <v>874</v>
      </c>
      <c r="AA98" s="478" t="s">
        <v>874</v>
      </c>
      <c r="AB98" s="478" t="s">
        <v>874</v>
      </c>
      <c r="AC98" s="971">
        <f t="shared" si="110"/>
        <v>0</v>
      </c>
      <c r="AD98" s="463" t="b">
        <f t="shared" si="119"/>
        <v>0</v>
      </c>
      <c r="AE98" s="425" t="b">
        <f t="shared" si="112"/>
        <v>0</v>
      </c>
      <c r="AF98" s="968" t="str">
        <f t="shared" si="113"/>
        <v/>
      </c>
      <c r="AG98" s="478">
        <f t="shared" si="120"/>
        <v>0</v>
      </c>
      <c r="AH98" s="465">
        <v>2</v>
      </c>
      <c r="AI98" s="431">
        <f t="shared" si="115"/>
        <v>2</v>
      </c>
      <c r="AJ98" s="336">
        <f t="shared" si="116"/>
        <v>0</v>
      </c>
      <c r="AL98" s="310"/>
      <c r="AO98" s="339"/>
      <c r="AP98" s="339"/>
      <c r="AQ98" s="339"/>
      <c r="AR98" s="312">
        <f t="shared" si="103"/>
        <v>91</v>
      </c>
      <c r="AS98" s="1049" t="str">
        <f>AR98&amp;" "&amp;IF(AU98&lt;&gt;"-",【様式2】職員名簿!B127&amp;"/"&amp;AT98&amp;"/"&amp;AU98,"")</f>
        <v xml:space="preserve">91 </v>
      </c>
      <c r="AT98" s="1049">
        <f>【様式2】職員名簿!E127</f>
        <v>0</v>
      </c>
      <c r="AU98" s="1049" t="str">
        <f>IF(【様式2】職員名簿!J127="エラー","-",【様式2】職員名簿!J127)</f>
        <v>-</v>
      </c>
      <c r="AV98" s="430">
        <f>IF($AT98="常勤",$AM$2,IF($AT98="非常勤",【様式2】職員名簿!G127,0))</f>
        <v>0</v>
      </c>
      <c r="AW98" s="330">
        <f>IF($AU98=AW$3,COUNTIF($AU$8:$AU98,AW$3),0)</f>
        <v>0</v>
      </c>
      <c r="AX98" s="331" t="str">
        <f t="shared" si="124"/>
        <v/>
      </c>
      <c r="AY98" s="332">
        <f>IF($AU98=AY$3,COUNTIF($AU$8:$AU98,AY$3),0)</f>
        <v>0</v>
      </c>
      <c r="AZ98" s="331" t="str">
        <f t="shared" si="125"/>
        <v/>
      </c>
      <c r="BA98" s="332">
        <f>IF($AU98=BA$3,COUNTIFS($AU$8:$AU98,BA$3,$AT$8:$AT98,BA$4),0)</f>
        <v>0</v>
      </c>
      <c r="BB98" s="331" t="str">
        <f t="shared" si="126"/>
        <v/>
      </c>
      <c r="BC98" s="431">
        <f>IF($AU98=BC$3,COUNTIF($AU$8:$AU98,BC$3),0)</f>
        <v>0</v>
      </c>
      <c r="BD98" s="331" t="str">
        <f t="shared" si="127"/>
        <v/>
      </c>
      <c r="BE98" s="312">
        <f>IF(OR($AU98=BE$3,$AU98=BE$4),COUNTIF($AU$8:$AU98,BE$3)+COUNTIF($AU$8:$AU98,BE$4),0)</f>
        <v>0</v>
      </c>
      <c r="BF98" s="331" t="str">
        <f t="shared" si="128"/>
        <v/>
      </c>
      <c r="BG98" s="312">
        <f>IF($AU98=BG$3,COUNTIF($AU$8:$AU98,BG$3),0)</f>
        <v>0</v>
      </c>
      <c r="BH98" s="331" t="str">
        <f t="shared" si="129"/>
        <v/>
      </c>
      <c r="BI98" s="312">
        <f>IF($AU98&lt;&gt;BI$3,COUNTIF($AU$8:$AU98,"&lt;&gt;"&amp;BI$3),0)</f>
        <v>0</v>
      </c>
      <c r="BJ98" s="331" t="str">
        <f t="shared" si="130"/>
        <v/>
      </c>
      <c r="BK98" s="954"/>
      <c r="BL98" s="954"/>
    </row>
    <row r="99" spans="1:64" ht="15" customHeight="1">
      <c r="A99" s="2454"/>
      <c r="B99" s="2455"/>
      <c r="C99" s="2456"/>
      <c r="D99" s="2261" t="str">
        <f t="shared" si="117"/>
        <v>保育士</v>
      </c>
      <c r="E99" s="2262"/>
      <c r="F99" s="2268"/>
      <c r="G99" s="2278"/>
      <c r="H99" s="2278"/>
      <c r="I99" s="837" t="str">
        <f t="shared" si="104"/>
        <v/>
      </c>
      <c r="J99" s="984" t="str">
        <f t="shared" si="133"/>
        <v/>
      </c>
      <c r="K99" s="1034"/>
      <c r="L99" s="859" t="str">
        <f t="shared" si="105"/>
        <v/>
      </c>
      <c r="M99" s="576">
        <f t="shared" si="106"/>
        <v>0</v>
      </c>
      <c r="N99" s="2619"/>
      <c r="O99" s="2620"/>
      <c r="P99" s="322"/>
      <c r="Q99" s="954"/>
      <c r="R99" s="954"/>
      <c r="S99" s="954"/>
      <c r="T99" s="968" t="str">
        <f t="shared" si="132"/>
        <v>保育士</v>
      </c>
      <c r="U99" s="970">
        <f t="shared" si="108"/>
        <v>0</v>
      </c>
      <c r="V99" s="968">
        <v>2</v>
      </c>
      <c r="W99" s="968" t="b">
        <f t="shared" si="121"/>
        <v>0</v>
      </c>
      <c r="X99" s="463" t="b">
        <f t="shared" ca="1" si="122"/>
        <v>0</v>
      </c>
      <c r="Y99" s="477" t="b">
        <f>COUNTIF($AC$25:AC98,AC99)+COUNTIF(AC100:$AC$124,AC99)-COUNTIF(Z99:AB99,AC99)=0</f>
        <v>0</v>
      </c>
      <c r="Z99" s="478" t="s">
        <v>874</v>
      </c>
      <c r="AA99" s="478" t="s">
        <v>874</v>
      </c>
      <c r="AB99" s="478" t="s">
        <v>874</v>
      </c>
      <c r="AC99" s="971">
        <f t="shared" si="110"/>
        <v>0</v>
      </c>
      <c r="AD99" s="463" t="b">
        <f t="shared" si="119"/>
        <v>0</v>
      </c>
      <c r="AE99" s="425" t="b">
        <f t="shared" si="112"/>
        <v>0</v>
      </c>
      <c r="AF99" s="968" t="str">
        <f t="shared" si="113"/>
        <v/>
      </c>
      <c r="AG99" s="478">
        <f t="shared" si="120"/>
        <v>0</v>
      </c>
      <c r="AH99" s="465">
        <v>2</v>
      </c>
      <c r="AI99" s="431">
        <f t="shared" si="115"/>
        <v>2</v>
      </c>
      <c r="AJ99" s="336">
        <f t="shared" si="116"/>
        <v>0</v>
      </c>
      <c r="AL99" s="310"/>
      <c r="AO99" s="339"/>
      <c r="AP99" s="339"/>
      <c r="AQ99" s="339"/>
      <c r="AR99" s="312">
        <f t="shared" si="103"/>
        <v>92</v>
      </c>
      <c r="AS99" s="1049" t="str">
        <f>AR99&amp;" "&amp;IF(AU99&lt;&gt;"-",【様式2】職員名簿!B128&amp;"/"&amp;AT99&amp;"/"&amp;AU99,"")</f>
        <v xml:space="preserve">92 </v>
      </c>
      <c r="AT99" s="1049">
        <f>【様式2】職員名簿!E128</f>
        <v>0</v>
      </c>
      <c r="AU99" s="1049" t="str">
        <f>IF(【様式2】職員名簿!J128="エラー","-",【様式2】職員名簿!J128)</f>
        <v>-</v>
      </c>
      <c r="AV99" s="430">
        <f>IF($AT99="常勤",$AM$2,IF($AT99="非常勤",【様式2】職員名簿!G128,0))</f>
        <v>0</v>
      </c>
      <c r="AW99" s="330">
        <f>IF($AU99=AW$3,COUNTIF($AU$8:$AU99,AW$3),0)</f>
        <v>0</v>
      </c>
      <c r="AX99" s="331" t="str">
        <f t="shared" si="124"/>
        <v/>
      </c>
      <c r="AY99" s="332">
        <f>IF($AU99=AY$3,COUNTIF($AU$8:$AU99,AY$3),0)</f>
        <v>0</v>
      </c>
      <c r="AZ99" s="331" t="str">
        <f t="shared" si="125"/>
        <v/>
      </c>
      <c r="BA99" s="332">
        <f>IF($AU99=BA$3,COUNTIFS($AU$8:$AU99,BA$3,$AT$8:$AT99,BA$4),0)</f>
        <v>0</v>
      </c>
      <c r="BB99" s="331" t="str">
        <f t="shared" si="126"/>
        <v/>
      </c>
      <c r="BC99" s="431">
        <f>IF($AU99=BC$3,COUNTIF($AU$8:$AU99,BC$3),0)</f>
        <v>0</v>
      </c>
      <c r="BD99" s="331" t="str">
        <f t="shared" si="127"/>
        <v/>
      </c>
      <c r="BE99" s="312">
        <f>IF(OR($AU99=BE$3,$AU99=BE$4),COUNTIF($AU$8:$AU99,BE$3)+COUNTIF($AU$8:$AU99,BE$4),0)</f>
        <v>0</v>
      </c>
      <c r="BF99" s="331" t="str">
        <f t="shared" si="128"/>
        <v/>
      </c>
      <c r="BG99" s="312">
        <f>IF($AU99=BG$3,COUNTIF($AU$8:$AU99,BG$3),0)</f>
        <v>0</v>
      </c>
      <c r="BH99" s="331" t="str">
        <f t="shared" si="129"/>
        <v/>
      </c>
      <c r="BI99" s="312">
        <f>IF($AU99&lt;&gt;BI$3,COUNTIF($AU$8:$AU99,"&lt;&gt;"&amp;BI$3),0)</f>
        <v>0</v>
      </c>
      <c r="BJ99" s="331" t="str">
        <f t="shared" si="130"/>
        <v/>
      </c>
      <c r="BK99" s="954"/>
      <c r="BL99" s="954"/>
    </row>
    <row r="100" spans="1:64" ht="15" customHeight="1">
      <c r="A100" s="2454"/>
      <c r="B100" s="2455"/>
      <c r="C100" s="2456"/>
      <c r="D100" s="2261" t="str">
        <f t="shared" si="117"/>
        <v>保育士</v>
      </c>
      <c r="E100" s="2262"/>
      <c r="F100" s="2268"/>
      <c r="G100" s="2278"/>
      <c r="H100" s="2278"/>
      <c r="I100" s="837" t="str">
        <f t="shared" si="104"/>
        <v/>
      </c>
      <c r="J100" s="984" t="str">
        <f t="shared" si="133"/>
        <v/>
      </c>
      <c r="K100" s="1034"/>
      <c r="L100" s="859" t="str">
        <f t="shared" si="105"/>
        <v/>
      </c>
      <c r="M100" s="576">
        <f t="shared" si="106"/>
        <v>0</v>
      </c>
      <c r="N100" s="2619"/>
      <c r="O100" s="2620"/>
      <c r="P100" s="322"/>
      <c r="Q100" s="954"/>
      <c r="R100" s="954"/>
      <c r="S100" s="954"/>
      <c r="T100" s="968" t="str">
        <f t="shared" si="132"/>
        <v>保育士</v>
      </c>
      <c r="U100" s="970">
        <f t="shared" si="108"/>
        <v>0</v>
      </c>
      <c r="V100" s="968">
        <v>2</v>
      </c>
      <c r="W100" s="968" t="b">
        <f t="shared" si="121"/>
        <v>0</v>
      </c>
      <c r="X100" s="463" t="b">
        <f t="shared" ca="1" si="122"/>
        <v>0</v>
      </c>
      <c r="Y100" s="477" t="b">
        <f>COUNTIF($AC$25:AC99,AC100)+COUNTIF(AC101:$AC$124,AC100)-COUNTIF(Z100:AB100,AC100)=0</f>
        <v>0</v>
      </c>
      <c r="Z100" s="478" t="s">
        <v>874</v>
      </c>
      <c r="AA100" s="478" t="s">
        <v>874</v>
      </c>
      <c r="AB100" s="478" t="s">
        <v>874</v>
      </c>
      <c r="AC100" s="971">
        <f t="shared" si="110"/>
        <v>0</v>
      </c>
      <c r="AD100" s="463" t="b">
        <f t="shared" si="119"/>
        <v>0</v>
      </c>
      <c r="AE100" s="425" t="b">
        <f t="shared" si="112"/>
        <v>0</v>
      </c>
      <c r="AF100" s="968" t="str">
        <f t="shared" si="113"/>
        <v/>
      </c>
      <c r="AG100" s="478">
        <f t="shared" si="120"/>
        <v>0</v>
      </c>
      <c r="AH100" s="465">
        <v>2</v>
      </c>
      <c r="AI100" s="431">
        <f t="shared" si="115"/>
        <v>2</v>
      </c>
      <c r="AJ100" s="336">
        <f t="shared" si="116"/>
        <v>0</v>
      </c>
      <c r="AL100" s="310"/>
      <c r="AO100" s="339"/>
      <c r="AP100" s="339"/>
      <c r="AQ100" s="339"/>
      <c r="AR100" s="312">
        <f t="shared" si="103"/>
        <v>93</v>
      </c>
      <c r="AS100" s="1049" t="str">
        <f>AR100&amp;" "&amp;IF(AU100&lt;&gt;"-",【様式2】職員名簿!B129&amp;"/"&amp;AT100&amp;"/"&amp;AU100,"")</f>
        <v xml:space="preserve">93 </v>
      </c>
      <c r="AT100" s="1049">
        <f>【様式2】職員名簿!E129</f>
        <v>0</v>
      </c>
      <c r="AU100" s="1049" t="str">
        <f>IF(【様式2】職員名簿!J129="エラー","-",【様式2】職員名簿!J129)</f>
        <v>-</v>
      </c>
      <c r="AV100" s="430">
        <f>IF($AT100="常勤",$AM$2,IF($AT100="非常勤",【様式2】職員名簿!G129,0))</f>
        <v>0</v>
      </c>
      <c r="AW100" s="330">
        <f>IF($AU100=AW$3,COUNTIF($AU$8:$AU100,AW$3),0)</f>
        <v>0</v>
      </c>
      <c r="AX100" s="331" t="str">
        <f t="shared" si="124"/>
        <v/>
      </c>
      <c r="AY100" s="332">
        <f>IF($AU100=AY$3,COUNTIF($AU$8:$AU100,AY$3),0)</f>
        <v>0</v>
      </c>
      <c r="AZ100" s="331" t="str">
        <f t="shared" si="125"/>
        <v/>
      </c>
      <c r="BA100" s="332">
        <f>IF($AU100=BA$3,COUNTIFS($AU$8:$AU100,BA$3,$AT$8:$AT100,BA$4),0)</f>
        <v>0</v>
      </c>
      <c r="BB100" s="331" t="str">
        <f t="shared" si="126"/>
        <v/>
      </c>
      <c r="BC100" s="431">
        <f>IF($AU100=BC$3,COUNTIF($AU$8:$AU100,BC$3),0)</f>
        <v>0</v>
      </c>
      <c r="BD100" s="331" t="str">
        <f t="shared" si="127"/>
        <v/>
      </c>
      <c r="BE100" s="312">
        <f>IF(OR($AU100=BE$3,$AU100=BE$4),COUNTIF($AU$8:$AU100,BE$3)+COUNTIF($AU$8:$AU100,BE$4),0)</f>
        <v>0</v>
      </c>
      <c r="BF100" s="331" t="str">
        <f t="shared" si="128"/>
        <v/>
      </c>
      <c r="BG100" s="312">
        <f>IF($AU100=BG$3,COUNTIF($AU$8:$AU100,BG$3),0)</f>
        <v>0</v>
      </c>
      <c r="BH100" s="331" t="str">
        <f t="shared" si="129"/>
        <v/>
      </c>
      <c r="BI100" s="312">
        <f>IF($AU100&lt;&gt;BI$3,COUNTIF($AU$8:$AU100,"&lt;&gt;"&amp;BI$3),0)</f>
        <v>0</v>
      </c>
      <c r="BJ100" s="331" t="str">
        <f t="shared" si="130"/>
        <v/>
      </c>
      <c r="BK100" s="954"/>
      <c r="BL100" s="954"/>
    </row>
    <row r="101" spans="1:64" ht="15" customHeight="1">
      <c r="A101" s="2457"/>
      <c r="B101" s="2458"/>
      <c r="C101" s="2459"/>
      <c r="D101" s="2318" t="str">
        <f t="shared" si="117"/>
        <v>保育士</v>
      </c>
      <c r="E101" s="2319"/>
      <c r="F101" s="2316"/>
      <c r="G101" s="2317"/>
      <c r="H101" s="2317"/>
      <c r="I101" s="841" t="str">
        <f t="shared" si="104"/>
        <v/>
      </c>
      <c r="J101" s="829" t="str">
        <f t="shared" si="133"/>
        <v/>
      </c>
      <c r="K101" s="1037"/>
      <c r="L101" s="902" t="str">
        <f t="shared" si="105"/>
        <v/>
      </c>
      <c r="M101" s="534">
        <f t="shared" si="106"/>
        <v>0</v>
      </c>
      <c r="N101" s="2681"/>
      <c r="O101" s="2682"/>
      <c r="P101" s="322"/>
      <c r="Q101" s="954"/>
      <c r="R101" s="954"/>
      <c r="S101" s="954"/>
      <c r="T101" s="968" t="str">
        <f t="shared" si="132"/>
        <v>保育士</v>
      </c>
      <c r="U101" s="970">
        <f t="shared" si="108"/>
        <v>0</v>
      </c>
      <c r="V101" s="968">
        <v>2</v>
      </c>
      <c r="W101" s="968" t="b">
        <f t="shared" si="121"/>
        <v>0</v>
      </c>
      <c r="X101" s="463" t="b">
        <f t="shared" ca="1" si="122"/>
        <v>0</v>
      </c>
      <c r="Y101" s="477" t="b">
        <f>COUNTIF($AC$25:AC100,AC101)+COUNTIF(AC102:$AC$124,AC101)-COUNTIF(Z101:AB101,AC101)=0</f>
        <v>0</v>
      </c>
      <c r="Z101" s="478" t="s">
        <v>874</v>
      </c>
      <c r="AA101" s="478" t="s">
        <v>874</v>
      </c>
      <c r="AB101" s="478" t="s">
        <v>874</v>
      </c>
      <c r="AC101" s="971">
        <f t="shared" si="110"/>
        <v>0</v>
      </c>
      <c r="AD101" s="463" t="b">
        <f t="shared" si="119"/>
        <v>0</v>
      </c>
      <c r="AE101" s="425" t="b">
        <f t="shared" si="112"/>
        <v>0</v>
      </c>
      <c r="AF101" s="968" t="str">
        <f t="shared" si="113"/>
        <v/>
      </c>
      <c r="AG101" s="478">
        <f t="shared" si="120"/>
        <v>0</v>
      </c>
      <c r="AH101" s="465">
        <v>2</v>
      </c>
      <c r="AI101" s="431">
        <f t="shared" si="115"/>
        <v>2</v>
      </c>
      <c r="AJ101" s="336">
        <f t="shared" si="116"/>
        <v>0</v>
      </c>
      <c r="AL101" s="310"/>
      <c r="AO101" s="339"/>
      <c r="AP101" s="339"/>
      <c r="AQ101" s="339"/>
      <c r="AR101" s="312">
        <f t="shared" si="103"/>
        <v>94</v>
      </c>
      <c r="AS101" s="1049" t="str">
        <f>AR101&amp;" "&amp;IF(AU101&lt;&gt;"-",【様式2】職員名簿!B130&amp;"/"&amp;AT101&amp;"/"&amp;AU101,"")</f>
        <v xml:space="preserve">94 </v>
      </c>
      <c r="AT101" s="1049">
        <f>【様式2】職員名簿!E130</f>
        <v>0</v>
      </c>
      <c r="AU101" s="1049" t="str">
        <f>IF(【様式2】職員名簿!J130="エラー","-",【様式2】職員名簿!J130)</f>
        <v>-</v>
      </c>
      <c r="AV101" s="430">
        <f>IF($AT101="常勤",$AM$2,IF($AT101="非常勤",【様式2】職員名簿!G130,0))</f>
        <v>0</v>
      </c>
      <c r="AW101" s="330">
        <f>IF($AU101=AW$3,COUNTIF($AU$8:$AU101,AW$3),0)</f>
        <v>0</v>
      </c>
      <c r="AX101" s="331" t="str">
        <f t="shared" si="124"/>
        <v/>
      </c>
      <c r="AY101" s="332">
        <f>IF($AU101=AY$3,COUNTIF($AU$8:$AU101,AY$3),0)</f>
        <v>0</v>
      </c>
      <c r="AZ101" s="331" t="str">
        <f t="shared" si="125"/>
        <v/>
      </c>
      <c r="BA101" s="332">
        <f>IF($AU101=BA$3,COUNTIFS($AU$8:$AU101,BA$3,$AT$8:$AT101,BA$4),0)</f>
        <v>0</v>
      </c>
      <c r="BB101" s="331" t="str">
        <f t="shared" si="126"/>
        <v/>
      </c>
      <c r="BC101" s="431">
        <f>IF($AU101=BC$3,COUNTIF($AU$8:$AU101,BC$3),0)</f>
        <v>0</v>
      </c>
      <c r="BD101" s="331" t="str">
        <f t="shared" si="127"/>
        <v/>
      </c>
      <c r="BE101" s="312">
        <f>IF(OR($AU101=BE$3,$AU101=BE$4),COUNTIF($AU$8:$AU101,BE$3)+COUNTIF($AU$8:$AU101,BE$4),0)</f>
        <v>0</v>
      </c>
      <c r="BF101" s="331" t="str">
        <f t="shared" si="128"/>
        <v/>
      </c>
      <c r="BG101" s="312">
        <f>IF($AU101=BG$3,COUNTIF($AU$8:$AU101,BG$3),0)</f>
        <v>0</v>
      </c>
      <c r="BH101" s="331" t="str">
        <f t="shared" si="129"/>
        <v/>
      </c>
      <c r="BI101" s="312">
        <f>IF($AU101&lt;&gt;BI$3,COUNTIF($AU$8:$AU101,"&lt;&gt;"&amp;BI$3),0)</f>
        <v>0</v>
      </c>
      <c r="BJ101" s="331" t="str">
        <f t="shared" si="130"/>
        <v/>
      </c>
      <c r="BK101" s="954"/>
      <c r="BL101" s="954"/>
    </row>
    <row r="102" spans="1:64" ht="15" customHeight="1">
      <c r="A102" s="1809" t="s">
        <v>998</v>
      </c>
      <c r="B102" s="1707"/>
      <c r="C102" s="2285"/>
      <c r="D102" s="2286" t="str">
        <f t="shared" si="117"/>
        <v>保育士</v>
      </c>
      <c r="E102" s="2287"/>
      <c r="F102" s="2328"/>
      <c r="G102" s="2329"/>
      <c r="H102" s="2329"/>
      <c r="I102" s="866" t="str">
        <f t="shared" si="104"/>
        <v/>
      </c>
      <c r="J102" s="833" t="str">
        <f t="shared" si="131"/>
        <v/>
      </c>
      <c r="K102" s="1038"/>
      <c r="L102" s="903" t="str">
        <f t="shared" si="105"/>
        <v/>
      </c>
      <c r="M102" s="577">
        <f t="shared" si="106"/>
        <v>0</v>
      </c>
      <c r="N102" s="2677">
        <f>SUM(M102:M106)</f>
        <v>0</v>
      </c>
      <c r="O102" s="2678"/>
      <c r="P102" s="322"/>
      <c r="Q102" s="954"/>
      <c r="R102" s="954"/>
      <c r="S102" s="954"/>
      <c r="T102" s="968" t="str">
        <f t="shared" si="132"/>
        <v>保育士</v>
      </c>
      <c r="U102" s="970">
        <f t="shared" si="108"/>
        <v>0</v>
      </c>
      <c r="V102" s="968">
        <v>2</v>
      </c>
      <c r="W102" s="968" t="b">
        <f t="shared" si="121"/>
        <v>0</v>
      </c>
      <c r="X102" s="463" t="b">
        <f t="shared" ca="1" si="122"/>
        <v>0</v>
      </c>
      <c r="Y102" s="477" t="b">
        <f>COUNTIF($AC$25:AC101,AC102)+COUNTIF(AC103:$AC$124,AC102)-COUNTIF(Z102:AB102,AC102)=0</f>
        <v>0</v>
      </c>
      <c r="Z102" s="478" t="s">
        <v>874</v>
      </c>
      <c r="AA102" s="478" t="s">
        <v>874</v>
      </c>
      <c r="AB102" s="478" t="s">
        <v>874</v>
      </c>
      <c r="AC102" s="971">
        <f t="shared" si="110"/>
        <v>0</v>
      </c>
      <c r="AD102" s="463" t="b">
        <f t="shared" si="119"/>
        <v>0</v>
      </c>
      <c r="AE102" s="425" t="b">
        <f t="shared" si="112"/>
        <v>0</v>
      </c>
      <c r="AF102" s="968" t="str">
        <f t="shared" si="113"/>
        <v/>
      </c>
      <c r="AG102" s="478">
        <f t="shared" si="120"/>
        <v>0</v>
      </c>
      <c r="AH102" s="465">
        <v>2</v>
      </c>
      <c r="AI102" s="431">
        <f t="shared" si="115"/>
        <v>2</v>
      </c>
      <c r="AJ102" s="336">
        <f t="shared" si="116"/>
        <v>0</v>
      </c>
      <c r="AO102" s="339"/>
      <c r="AP102" s="339"/>
      <c r="AQ102" s="339"/>
      <c r="AR102" s="312">
        <f t="shared" si="103"/>
        <v>95</v>
      </c>
      <c r="AS102" s="1049" t="str">
        <f>AR102&amp;" "&amp;IF(AU102&lt;&gt;"-",【様式2】職員名簿!B131&amp;"/"&amp;AT102&amp;"/"&amp;AU102,"")</f>
        <v xml:space="preserve">95 </v>
      </c>
      <c r="AT102" s="1049">
        <f>【様式2】職員名簿!E131</f>
        <v>0</v>
      </c>
      <c r="AU102" s="1049" t="str">
        <f>IF(【様式2】職員名簿!J131="エラー","-",【様式2】職員名簿!J131)</f>
        <v>-</v>
      </c>
      <c r="AV102" s="430">
        <f>IF($AT102="常勤",$AM$2,IF($AT102="非常勤",【様式2】職員名簿!G131,0))</f>
        <v>0</v>
      </c>
      <c r="AW102" s="330">
        <f>IF($AU102=AW$3,COUNTIF($AU$8:$AU102,AW$3),0)</f>
        <v>0</v>
      </c>
      <c r="AX102" s="331" t="str">
        <f t="shared" si="124"/>
        <v/>
      </c>
      <c r="AY102" s="332">
        <f>IF($AU102=AY$3,COUNTIF($AU$8:$AU102,AY$3),0)</f>
        <v>0</v>
      </c>
      <c r="AZ102" s="331" t="str">
        <f t="shared" si="125"/>
        <v/>
      </c>
      <c r="BA102" s="332">
        <f>IF($AU102=BA$3,COUNTIFS($AU$8:$AU102,BA$3,$AT$8:$AT102,BA$4),0)</f>
        <v>0</v>
      </c>
      <c r="BB102" s="331" t="str">
        <f t="shared" si="126"/>
        <v/>
      </c>
      <c r="BC102" s="431">
        <f>IF($AU102=BC$3,COUNTIF($AU$8:$AU102,BC$3),0)</f>
        <v>0</v>
      </c>
      <c r="BD102" s="331" t="str">
        <f t="shared" si="127"/>
        <v/>
      </c>
      <c r="BE102" s="312">
        <f>IF(OR($AU102=BE$3,$AU102=BE$4),COUNTIF($AU$8:$AU102,BE$3)+COUNTIF($AU$8:$AU102,BE$4),0)</f>
        <v>0</v>
      </c>
      <c r="BF102" s="331" t="str">
        <f t="shared" si="128"/>
        <v/>
      </c>
      <c r="BG102" s="312">
        <f>IF($AU102=BG$3,COUNTIF($AU$8:$AU102,BG$3),0)</f>
        <v>0</v>
      </c>
      <c r="BH102" s="331" t="str">
        <f t="shared" si="129"/>
        <v/>
      </c>
      <c r="BI102" s="312">
        <f>IF($AU102&lt;&gt;BI$3,COUNTIF($AU$8:$AU102,"&lt;&gt;"&amp;BI$3),0)</f>
        <v>0</v>
      </c>
      <c r="BJ102" s="331" t="str">
        <f t="shared" si="130"/>
        <v/>
      </c>
      <c r="BK102" s="954"/>
      <c r="BL102" s="954"/>
    </row>
    <row r="103" spans="1:64" ht="15" customHeight="1">
      <c r="A103" s="1809"/>
      <c r="B103" s="1707"/>
      <c r="C103" s="2285"/>
      <c r="D103" s="2261" t="str">
        <f t="shared" si="117"/>
        <v>保育士</v>
      </c>
      <c r="E103" s="2262"/>
      <c r="F103" s="2268"/>
      <c r="G103" s="2278"/>
      <c r="H103" s="2278"/>
      <c r="I103" s="837" t="str">
        <f t="shared" si="104"/>
        <v/>
      </c>
      <c r="J103" s="984" t="str">
        <f t="shared" si="131"/>
        <v/>
      </c>
      <c r="K103" s="1034"/>
      <c r="L103" s="859" t="str">
        <f t="shared" si="105"/>
        <v/>
      </c>
      <c r="M103" s="576">
        <f t="shared" si="106"/>
        <v>0</v>
      </c>
      <c r="N103" s="2619"/>
      <c r="O103" s="2620"/>
      <c r="P103" s="322"/>
      <c r="Q103" s="954"/>
      <c r="R103" s="954"/>
      <c r="S103" s="954"/>
      <c r="T103" s="968" t="str">
        <f t="shared" si="132"/>
        <v>保育士</v>
      </c>
      <c r="U103" s="970">
        <f t="shared" si="108"/>
        <v>0</v>
      </c>
      <c r="V103" s="968">
        <v>2</v>
      </c>
      <c r="W103" s="968" t="b">
        <f t="shared" si="121"/>
        <v>0</v>
      </c>
      <c r="X103" s="463" t="b">
        <f t="shared" ca="1" si="122"/>
        <v>0</v>
      </c>
      <c r="Y103" s="477" t="b">
        <f>COUNTIF($AC$25:AC102,AC103)+COUNTIF(AC104:$AC$124,AC103)-COUNTIF(Z103:AB103,AC103)=0</f>
        <v>0</v>
      </c>
      <c r="Z103" s="478" t="s">
        <v>874</v>
      </c>
      <c r="AA103" s="478" t="s">
        <v>874</v>
      </c>
      <c r="AB103" s="478" t="s">
        <v>874</v>
      </c>
      <c r="AC103" s="971">
        <f t="shared" si="110"/>
        <v>0</v>
      </c>
      <c r="AD103" s="463" t="b">
        <f t="shared" si="119"/>
        <v>0</v>
      </c>
      <c r="AE103" s="425" t="b">
        <f t="shared" si="112"/>
        <v>0</v>
      </c>
      <c r="AF103" s="968" t="str">
        <f t="shared" si="113"/>
        <v/>
      </c>
      <c r="AG103" s="478">
        <f t="shared" si="120"/>
        <v>0</v>
      </c>
      <c r="AH103" s="465">
        <v>2</v>
      </c>
      <c r="AI103" s="431">
        <f t="shared" si="115"/>
        <v>2</v>
      </c>
      <c r="AJ103" s="336">
        <f t="shared" si="116"/>
        <v>0</v>
      </c>
      <c r="AO103" s="339"/>
      <c r="AP103" s="339"/>
      <c r="AQ103" s="339"/>
      <c r="AR103" s="312">
        <f t="shared" si="103"/>
        <v>96</v>
      </c>
      <c r="AS103" s="1049" t="str">
        <f>AR103&amp;" "&amp;IF(AU103&lt;&gt;"-",【様式2】職員名簿!B132&amp;"/"&amp;AT103&amp;"/"&amp;AU103,"")</f>
        <v xml:space="preserve">96 </v>
      </c>
      <c r="AT103" s="1049">
        <f>【様式2】職員名簿!E132</f>
        <v>0</v>
      </c>
      <c r="AU103" s="1049" t="str">
        <f>IF(【様式2】職員名簿!J132="エラー","-",【様式2】職員名簿!J132)</f>
        <v>-</v>
      </c>
      <c r="AV103" s="430">
        <f>IF($AT103="常勤",$AM$2,IF($AT103="非常勤",【様式2】職員名簿!G132,0))</f>
        <v>0</v>
      </c>
      <c r="AW103" s="330">
        <f>IF($AU103=AW$3,COUNTIF($AU$8:$AU103,AW$3),0)</f>
        <v>0</v>
      </c>
      <c r="AX103" s="331" t="str">
        <f t="shared" si="124"/>
        <v/>
      </c>
      <c r="AY103" s="332">
        <f>IF($AU103=AY$3,COUNTIF($AU$8:$AU103,AY$3),0)</f>
        <v>0</v>
      </c>
      <c r="AZ103" s="331" t="str">
        <f t="shared" si="125"/>
        <v/>
      </c>
      <c r="BA103" s="332">
        <f>IF($AU103=BA$3,COUNTIFS($AU$8:$AU103,BA$3,$AT$8:$AT103,BA$4),0)</f>
        <v>0</v>
      </c>
      <c r="BB103" s="331" t="str">
        <f t="shared" si="126"/>
        <v/>
      </c>
      <c r="BC103" s="431">
        <f>IF($AU103=BC$3,COUNTIF($AU$8:$AU103,BC$3),0)</f>
        <v>0</v>
      </c>
      <c r="BD103" s="331" t="str">
        <f t="shared" si="127"/>
        <v/>
      </c>
      <c r="BE103" s="312">
        <f>IF(OR($AU103=BE$3,$AU103=BE$4),COUNTIF($AU$8:$AU103,BE$3)+COUNTIF($AU$8:$AU103,BE$4),0)</f>
        <v>0</v>
      </c>
      <c r="BF103" s="331" t="str">
        <f t="shared" si="128"/>
        <v/>
      </c>
      <c r="BG103" s="312">
        <f>IF($AU103=BG$3,COUNTIF($AU$8:$AU103,BG$3),0)</f>
        <v>0</v>
      </c>
      <c r="BH103" s="331" t="str">
        <f t="shared" si="129"/>
        <v/>
      </c>
      <c r="BI103" s="312">
        <f>IF($AU103&lt;&gt;BI$3,COUNTIF($AU$8:$AU103,"&lt;&gt;"&amp;BI$3),0)</f>
        <v>0</v>
      </c>
      <c r="BJ103" s="331" t="str">
        <f t="shared" si="130"/>
        <v/>
      </c>
      <c r="BK103" s="954"/>
      <c r="BL103" s="954"/>
    </row>
    <row r="104" spans="1:64" ht="15" customHeight="1">
      <c r="A104" s="1809"/>
      <c r="B104" s="1707"/>
      <c r="C104" s="2285"/>
      <c r="D104" s="2261" t="str">
        <f t="shared" si="117"/>
        <v>保育士</v>
      </c>
      <c r="E104" s="2262"/>
      <c r="F104" s="2268"/>
      <c r="G104" s="2278"/>
      <c r="H104" s="2278"/>
      <c r="I104" s="837" t="str">
        <f t="shared" si="104"/>
        <v/>
      </c>
      <c r="J104" s="984" t="str">
        <f t="shared" ref="J104:J110" si="134">IF(OR(F104=0,F104=""),"",IF(W104,IF(X104,IF(OR(Y104,V104=3),IF(AD104,IF(OR(AE104,V104=2,V104=3),"○","要常勤"),"時間無"),"重複"),"名簿無"),"対象外"))</f>
        <v/>
      </c>
      <c r="K104" s="1034"/>
      <c r="L104" s="859" t="str">
        <f t="shared" si="105"/>
        <v/>
      </c>
      <c r="M104" s="576">
        <f t="shared" si="106"/>
        <v>0</v>
      </c>
      <c r="N104" s="2619"/>
      <c r="O104" s="2620"/>
      <c r="P104" s="322"/>
      <c r="Q104" s="954"/>
      <c r="R104" s="954"/>
      <c r="S104" s="954"/>
      <c r="T104" s="968" t="str">
        <f t="shared" si="132"/>
        <v>保育士</v>
      </c>
      <c r="U104" s="970">
        <f t="shared" si="108"/>
        <v>0</v>
      </c>
      <c r="V104" s="968">
        <v>2</v>
      </c>
      <c r="W104" s="968" t="b">
        <f t="shared" si="121"/>
        <v>0</v>
      </c>
      <c r="X104" s="463" t="b">
        <f t="shared" ca="1" si="122"/>
        <v>0</v>
      </c>
      <c r="Y104" s="477" t="b">
        <f>COUNTIF($AC$25:AC103,AC104)+COUNTIF(AC105:$AC$124,AC104)-COUNTIF(Z104:AB104,AC104)=0</f>
        <v>0</v>
      </c>
      <c r="Z104" s="478" t="s">
        <v>874</v>
      </c>
      <c r="AA104" s="478" t="s">
        <v>874</v>
      </c>
      <c r="AB104" s="478" t="s">
        <v>874</v>
      </c>
      <c r="AC104" s="971">
        <f t="shared" si="110"/>
        <v>0</v>
      </c>
      <c r="AD104" s="463" t="b">
        <f t="shared" si="119"/>
        <v>0</v>
      </c>
      <c r="AE104" s="425" t="b">
        <f t="shared" si="112"/>
        <v>0</v>
      </c>
      <c r="AF104" s="968" t="str">
        <f t="shared" si="113"/>
        <v/>
      </c>
      <c r="AG104" s="478">
        <f t="shared" si="120"/>
        <v>0</v>
      </c>
      <c r="AH104" s="465">
        <v>2</v>
      </c>
      <c r="AI104" s="431">
        <f t="shared" si="115"/>
        <v>2</v>
      </c>
      <c r="AJ104" s="336">
        <f t="shared" si="116"/>
        <v>0</v>
      </c>
      <c r="AO104" s="339"/>
      <c r="AP104" s="339"/>
      <c r="AQ104" s="339"/>
      <c r="AR104" s="312">
        <f t="shared" si="103"/>
        <v>97</v>
      </c>
      <c r="AS104" s="1049" t="str">
        <f>AR104&amp;" "&amp;IF(AU104&lt;&gt;"-",【様式2】職員名簿!B133&amp;"/"&amp;AT104&amp;"/"&amp;AU104,"")</f>
        <v xml:space="preserve">97 </v>
      </c>
      <c r="AT104" s="1049">
        <f>【様式2】職員名簿!E133</f>
        <v>0</v>
      </c>
      <c r="AU104" s="1049" t="str">
        <f>IF(【様式2】職員名簿!J133="エラー","-",【様式2】職員名簿!J133)</f>
        <v>-</v>
      </c>
      <c r="AV104" s="430">
        <f>IF($AT104="常勤",$AM$2,IF($AT104="非常勤",【様式2】職員名簿!G133,0))</f>
        <v>0</v>
      </c>
      <c r="AW104" s="330">
        <f>IF($AU104=AW$3,COUNTIF($AU$8:$AU104,AW$3),0)</f>
        <v>0</v>
      </c>
      <c r="AX104" s="331" t="str">
        <f t="shared" si="124"/>
        <v/>
      </c>
      <c r="AY104" s="332">
        <f>IF($AU104=AY$3,COUNTIF($AU$8:$AU104,AY$3),0)</f>
        <v>0</v>
      </c>
      <c r="AZ104" s="331" t="str">
        <f t="shared" si="125"/>
        <v/>
      </c>
      <c r="BA104" s="332">
        <f>IF($AU104=BA$3,COUNTIFS($AU$8:$AU104,BA$3,$AT$8:$AT104,BA$4),0)</f>
        <v>0</v>
      </c>
      <c r="BB104" s="331" t="str">
        <f t="shared" si="126"/>
        <v/>
      </c>
      <c r="BC104" s="431">
        <f>IF($AU104=BC$3,COUNTIF($AU$8:$AU104,BC$3),0)</f>
        <v>0</v>
      </c>
      <c r="BD104" s="331" t="str">
        <f t="shared" si="127"/>
        <v/>
      </c>
      <c r="BE104" s="312">
        <f>IF(OR($AU104=BE$3,$AU104=BE$4),COUNTIF($AU$8:$AU104,BE$3)+COUNTIF($AU$8:$AU104,BE$4),0)</f>
        <v>0</v>
      </c>
      <c r="BF104" s="331" t="str">
        <f t="shared" si="128"/>
        <v/>
      </c>
      <c r="BG104" s="312">
        <f>IF($AU104=BG$3,COUNTIF($AU$8:$AU104,BG$3),0)</f>
        <v>0</v>
      </c>
      <c r="BH104" s="331" t="str">
        <f t="shared" si="129"/>
        <v/>
      </c>
      <c r="BI104" s="312">
        <f>IF($AU104&lt;&gt;BI$3,COUNTIF($AU$8:$AU104,"&lt;&gt;"&amp;BI$3),0)</f>
        <v>0</v>
      </c>
      <c r="BJ104" s="331" t="str">
        <f t="shared" si="130"/>
        <v/>
      </c>
      <c r="BK104" s="954"/>
      <c r="BL104" s="954"/>
    </row>
    <row r="105" spans="1:64" ht="15" customHeight="1">
      <c r="A105" s="1809"/>
      <c r="B105" s="1707"/>
      <c r="C105" s="2285"/>
      <c r="D105" s="2261" t="str">
        <f t="shared" si="117"/>
        <v>保育士</v>
      </c>
      <c r="E105" s="2262"/>
      <c r="F105" s="2268"/>
      <c r="G105" s="2278"/>
      <c r="H105" s="2278"/>
      <c r="I105" s="837" t="str">
        <f t="shared" si="104"/>
        <v/>
      </c>
      <c r="J105" s="984" t="str">
        <f t="shared" si="134"/>
        <v/>
      </c>
      <c r="K105" s="1034"/>
      <c r="L105" s="859" t="str">
        <f t="shared" si="105"/>
        <v/>
      </c>
      <c r="M105" s="576">
        <f t="shared" si="106"/>
        <v>0</v>
      </c>
      <c r="N105" s="2619"/>
      <c r="O105" s="2620"/>
      <c r="P105" s="322"/>
      <c r="Q105" s="954"/>
      <c r="R105" s="954"/>
      <c r="S105" s="954"/>
      <c r="T105" s="968" t="str">
        <f t="shared" si="132"/>
        <v>保育士</v>
      </c>
      <c r="U105" s="970">
        <f t="shared" si="108"/>
        <v>0</v>
      </c>
      <c r="V105" s="968">
        <v>2</v>
      </c>
      <c r="W105" s="968" t="b">
        <f t="shared" si="121"/>
        <v>0</v>
      </c>
      <c r="X105" s="463" t="b">
        <f t="shared" ca="1" si="122"/>
        <v>0</v>
      </c>
      <c r="Y105" s="477" t="b">
        <f>COUNTIF($AC$25:AC104,AC105)+COUNTIF(AC106:$AC$124,AC105)-COUNTIF(Z105:AB105,AC105)=0</f>
        <v>0</v>
      </c>
      <c r="Z105" s="478" t="s">
        <v>874</v>
      </c>
      <c r="AA105" s="478" t="s">
        <v>874</v>
      </c>
      <c r="AB105" s="478" t="s">
        <v>874</v>
      </c>
      <c r="AC105" s="971">
        <f t="shared" si="110"/>
        <v>0</v>
      </c>
      <c r="AD105" s="463" t="b">
        <f t="shared" si="119"/>
        <v>0</v>
      </c>
      <c r="AE105" s="425" t="b">
        <f t="shared" si="112"/>
        <v>0</v>
      </c>
      <c r="AF105" s="968" t="str">
        <f t="shared" si="113"/>
        <v/>
      </c>
      <c r="AG105" s="478">
        <f t="shared" si="120"/>
        <v>0</v>
      </c>
      <c r="AH105" s="465">
        <v>2</v>
      </c>
      <c r="AI105" s="431">
        <f t="shared" si="115"/>
        <v>2</v>
      </c>
      <c r="AJ105" s="336">
        <f t="shared" si="116"/>
        <v>0</v>
      </c>
      <c r="AO105" s="339"/>
      <c r="AP105" s="339"/>
      <c r="AQ105" s="339"/>
      <c r="AR105" s="312">
        <f t="shared" si="103"/>
        <v>98</v>
      </c>
      <c r="AS105" s="1049" t="str">
        <f>AR105&amp;" "&amp;IF(AU105&lt;&gt;"-",【様式2】職員名簿!B134&amp;"/"&amp;AT105&amp;"/"&amp;AU105,"")</f>
        <v xml:space="preserve">98 </v>
      </c>
      <c r="AT105" s="1049">
        <f>【様式2】職員名簿!E134</f>
        <v>0</v>
      </c>
      <c r="AU105" s="1049" t="str">
        <f>IF(【様式2】職員名簿!J134="エラー","-",【様式2】職員名簿!J134)</f>
        <v>-</v>
      </c>
      <c r="AV105" s="430">
        <f>IF($AT105="常勤",$AM$2,IF($AT105="非常勤",【様式2】職員名簿!G134,0))</f>
        <v>0</v>
      </c>
      <c r="AW105" s="330">
        <f>IF($AU105=AW$3,COUNTIF($AU$8:$AU105,AW$3),0)</f>
        <v>0</v>
      </c>
      <c r="AX105" s="331" t="str">
        <f t="shared" si="124"/>
        <v/>
      </c>
      <c r="AY105" s="332">
        <f>IF($AU105=AY$3,COUNTIF($AU$8:$AU105,AY$3),0)</f>
        <v>0</v>
      </c>
      <c r="AZ105" s="331" t="str">
        <f t="shared" si="125"/>
        <v/>
      </c>
      <c r="BA105" s="332">
        <f>IF($AU105=BA$3,COUNTIFS($AU$8:$AU105,BA$3,$AT$8:$AT105,BA$4),0)</f>
        <v>0</v>
      </c>
      <c r="BB105" s="331" t="str">
        <f t="shared" si="126"/>
        <v/>
      </c>
      <c r="BC105" s="431">
        <f>IF($AU105=BC$3,COUNTIF($AU$8:$AU105,BC$3),0)</f>
        <v>0</v>
      </c>
      <c r="BD105" s="331" t="str">
        <f t="shared" si="127"/>
        <v/>
      </c>
      <c r="BE105" s="312">
        <f>IF(OR($AU105=BE$3,$AU105=BE$4),COUNTIF($AU$8:$AU105,BE$3)+COUNTIF($AU$8:$AU105,BE$4),0)</f>
        <v>0</v>
      </c>
      <c r="BF105" s="331" t="str">
        <f t="shared" si="128"/>
        <v/>
      </c>
      <c r="BG105" s="312">
        <f>IF($AU105=BG$3,COUNTIF($AU$8:$AU105,BG$3),0)</f>
        <v>0</v>
      </c>
      <c r="BH105" s="331" t="str">
        <f t="shared" si="129"/>
        <v/>
      </c>
      <c r="BI105" s="312">
        <f>IF($AU105&lt;&gt;BI$3,COUNTIF($AU$8:$AU105,"&lt;&gt;"&amp;BI$3),0)</f>
        <v>0</v>
      </c>
      <c r="BJ105" s="331" t="str">
        <f t="shared" si="130"/>
        <v/>
      </c>
      <c r="BK105" s="954"/>
      <c r="BL105" s="954"/>
    </row>
    <row r="106" spans="1:64" ht="15" customHeight="1">
      <c r="A106" s="1809"/>
      <c r="B106" s="1707"/>
      <c r="C106" s="2285"/>
      <c r="D106" s="2318" t="str">
        <f t="shared" si="117"/>
        <v>保育士</v>
      </c>
      <c r="E106" s="2319"/>
      <c r="F106" s="2316"/>
      <c r="G106" s="2317"/>
      <c r="H106" s="2317"/>
      <c r="I106" s="841" t="str">
        <f t="shared" si="104"/>
        <v/>
      </c>
      <c r="J106" s="829" t="str">
        <f t="shared" si="134"/>
        <v/>
      </c>
      <c r="K106" s="1037"/>
      <c r="L106" s="902" t="str">
        <f t="shared" si="105"/>
        <v/>
      </c>
      <c r="M106" s="534">
        <f t="shared" si="106"/>
        <v>0</v>
      </c>
      <c r="N106" s="2681"/>
      <c r="O106" s="2682"/>
      <c r="P106" s="322"/>
      <c r="Q106" s="954"/>
      <c r="R106" s="954"/>
      <c r="S106" s="954"/>
      <c r="T106" s="968" t="str">
        <f t="shared" si="132"/>
        <v>保育士</v>
      </c>
      <c r="U106" s="970">
        <f t="shared" si="108"/>
        <v>0</v>
      </c>
      <c r="V106" s="968">
        <v>2</v>
      </c>
      <c r="W106" s="968" t="b">
        <f t="shared" si="121"/>
        <v>0</v>
      </c>
      <c r="X106" s="463" t="b">
        <f t="shared" ca="1" si="122"/>
        <v>0</v>
      </c>
      <c r="Y106" s="477" t="b">
        <f>COUNTIF($AC$25:AC105,AC106)+COUNTIF(AC107:$AC$124,AC106)-COUNTIF(Z106:AB106,AC106)=0</f>
        <v>0</v>
      </c>
      <c r="Z106" s="478" t="s">
        <v>874</v>
      </c>
      <c r="AA106" s="478" t="s">
        <v>874</v>
      </c>
      <c r="AB106" s="478" t="s">
        <v>874</v>
      </c>
      <c r="AC106" s="971">
        <f t="shared" si="110"/>
        <v>0</v>
      </c>
      <c r="AD106" s="463" t="b">
        <f t="shared" si="119"/>
        <v>0</v>
      </c>
      <c r="AE106" s="425" t="b">
        <f t="shared" si="112"/>
        <v>0</v>
      </c>
      <c r="AF106" s="968" t="str">
        <f t="shared" si="113"/>
        <v/>
      </c>
      <c r="AG106" s="478">
        <f t="shared" si="120"/>
        <v>0</v>
      </c>
      <c r="AH106" s="465">
        <v>2</v>
      </c>
      <c r="AI106" s="431">
        <f t="shared" si="115"/>
        <v>2</v>
      </c>
      <c r="AJ106" s="336">
        <f t="shared" si="116"/>
        <v>0</v>
      </c>
      <c r="AO106" s="339"/>
      <c r="AP106" s="339"/>
      <c r="AQ106" s="339"/>
      <c r="AR106" s="312">
        <f t="shared" si="103"/>
        <v>99</v>
      </c>
      <c r="AS106" s="1049" t="str">
        <f>AR106&amp;" "&amp;IF(AU106&lt;&gt;"-",【様式2】職員名簿!B135&amp;"/"&amp;AT106&amp;"/"&amp;AU106,"")</f>
        <v xml:space="preserve">99 </v>
      </c>
      <c r="AT106" s="1049">
        <f>【様式2】職員名簿!E135</f>
        <v>0</v>
      </c>
      <c r="AU106" s="1049" t="str">
        <f>IF(【様式2】職員名簿!J135="エラー","-",【様式2】職員名簿!J135)</f>
        <v>-</v>
      </c>
      <c r="AV106" s="430">
        <f>IF($AT106="常勤",$AM$2,IF($AT106="非常勤",【様式2】職員名簿!G135,0))</f>
        <v>0</v>
      </c>
      <c r="AW106" s="330">
        <f>IF($AU106=AW$3,COUNTIF($AU$8:$AU106,AW$3),0)</f>
        <v>0</v>
      </c>
      <c r="AX106" s="331" t="str">
        <f t="shared" si="124"/>
        <v/>
      </c>
      <c r="AY106" s="332">
        <f>IF($AU106=AY$3,COUNTIF($AU$8:$AU106,AY$3),0)</f>
        <v>0</v>
      </c>
      <c r="AZ106" s="331" t="str">
        <f t="shared" si="125"/>
        <v/>
      </c>
      <c r="BA106" s="332">
        <f>IF($AU106=BA$3,COUNTIFS($AU$8:$AU106,BA$3,$AT$8:$AT106,BA$4),0)</f>
        <v>0</v>
      </c>
      <c r="BB106" s="331" t="str">
        <f t="shared" si="126"/>
        <v/>
      </c>
      <c r="BC106" s="431">
        <f>IF($AU106=BC$3,COUNTIF($AU$8:$AU106,BC$3),0)</f>
        <v>0</v>
      </c>
      <c r="BD106" s="331" t="str">
        <f t="shared" si="127"/>
        <v/>
      </c>
      <c r="BE106" s="312">
        <f>IF(OR($AU106=BE$3,$AU106=BE$4),COUNTIF($AU$8:$AU106,BE$3)+COUNTIF($AU$8:$AU106,BE$4),0)</f>
        <v>0</v>
      </c>
      <c r="BF106" s="331" t="str">
        <f t="shared" si="128"/>
        <v/>
      </c>
      <c r="BG106" s="312">
        <f>IF($AU106=BG$3,COUNTIF($AU$8:$AU106,BG$3),0)</f>
        <v>0</v>
      </c>
      <c r="BH106" s="331" t="str">
        <f t="shared" si="129"/>
        <v/>
      </c>
      <c r="BI106" s="312">
        <f>IF($AU106&lt;&gt;BI$3,COUNTIF($AU$8:$AU106,"&lt;&gt;"&amp;BI$3),0)</f>
        <v>0</v>
      </c>
      <c r="BJ106" s="331" t="str">
        <f t="shared" si="130"/>
        <v/>
      </c>
      <c r="BK106" s="954"/>
      <c r="BL106" s="954"/>
    </row>
    <row r="107" spans="1:64" ht="15" customHeight="1">
      <c r="A107" s="2683" t="s">
        <v>992</v>
      </c>
      <c r="B107" s="2684"/>
      <c r="C107" s="2685"/>
      <c r="D107" s="2286" t="str">
        <f t="shared" si="117"/>
        <v>全職種</v>
      </c>
      <c r="E107" s="2287"/>
      <c r="F107" s="2328"/>
      <c r="G107" s="2329"/>
      <c r="H107" s="2329"/>
      <c r="I107" s="866" t="str">
        <f t="shared" si="104"/>
        <v/>
      </c>
      <c r="J107" s="833" t="str">
        <f t="shared" si="134"/>
        <v/>
      </c>
      <c r="K107" s="1038"/>
      <c r="L107" s="903" t="str">
        <f t="shared" si="105"/>
        <v/>
      </c>
      <c r="M107" s="577">
        <f t="shared" si="106"/>
        <v>0</v>
      </c>
      <c r="N107" s="2677">
        <f>SUM(M107:M109)</f>
        <v>0</v>
      </c>
      <c r="O107" s="2678"/>
      <c r="P107" s="322"/>
      <c r="Q107" s="954"/>
      <c r="R107" s="954"/>
      <c r="S107" s="954"/>
      <c r="T107" s="968" t="str">
        <f t="shared" ref="T107:T122" si="135">$BJ$6</f>
        <v>全職種</v>
      </c>
      <c r="U107" s="970">
        <f t="shared" si="108"/>
        <v>0</v>
      </c>
      <c r="V107" s="968">
        <v>2</v>
      </c>
      <c r="W107" s="968" t="b">
        <f t="shared" si="121"/>
        <v>0</v>
      </c>
      <c r="X107" s="463" t="b">
        <f t="shared" ca="1" si="122"/>
        <v>0</v>
      </c>
      <c r="Y107" s="477" t="b">
        <f>COUNTIF($AC$25:AC106,AC107)+COUNTIF(AC108:$AC$124,AC107)-COUNTIF(Z107:AB107,AC107)=0</f>
        <v>0</v>
      </c>
      <c r="Z107" s="478" t="s">
        <v>874</v>
      </c>
      <c r="AA107" s="478" t="s">
        <v>874</v>
      </c>
      <c r="AB107" s="478" t="s">
        <v>874</v>
      </c>
      <c r="AC107" s="971">
        <f t="shared" si="110"/>
        <v>0</v>
      </c>
      <c r="AD107" s="463" t="b">
        <f t="shared" si="119"/>
        <v>0</v>
      </c>
      <c r="AE107" s="425" t="b">
        <f t="shared" si="112"/>
        <v>0</v>
      </c>
      <c r="AF107" s="968" t="str">
        <f t="shared" si="113"/>
        <v/>
      </c>
      <c r="AG107" s="478">
        <f t="shared" si="120"/>
        <v>0</v>
      </c>
      <c r="AH107" s="465">
        <v>2</v>
      </c>
      <c r="AI107" s="431">
        <f t="shared" si="115"/>
        <v>2</v>
      </c>
      <c r="AJ107" s="336">
        <f t="shared" si="116"/>
        <v>0</v>
      </c>
      <c r="AK107" s="310"/>
      <c r="AO107" s="339"/>
      <c r="AP107" s="339"/>
      <c r="AQ107" s="339"/>
      <c r="AR107" s="312">
        <f t="shared" si="103"/>
        <v>100</v>
      </c>
      <c r="AS107" s="1049" t="str">
        <f>AR107&amp;" "&amp;IF(AU107&lt;&gt;"-",【様式2】職員名簿!B136&amp;"/"&amp;AT107&amp;"/"&amp;AU107,"")</f>
        <v xml:space="preserve">100 </v>
      </c>
      <c r="AT107" s="1049">
        <f>【様式2】職員名簿!E136</f>
        <v>0</v>
      </c>
      <c r="AU107" s="1049" t="str">
        <f>IF(【様式2】職員名簿!J136="エラー","-",【様式2】職員名簿!J136)</f>
        <v>-</v>
      </c>
      <c r="AV107" s="430">
        <f>IF($AT107="常勤",$AM$2,IF($AT107="非常勤",【様式2】職員名簿!G136,0))</f>
        <v>0</v>
      </c>
      <c r="AW107" s="330">
        <f>IF($AU107=AW$3,COUNTIF($AU$8:$AU107,AW$3),0)</f>
        <v>0</v>
      </c>
      <c r="AX107" s="331" t="str">
        <f t="shared" si="124"/>
        <v/>
      </c>
      <c r="AY107" s="332">
        <f>IF($AU107=AY$3,COUNTIF($AU$8:$AU107,AY$3),0)</f>
        <v>0</v>
      </c>
      <c r="AZ107" s="331" t="str">
        <f t="shared" si="125"/>
        <v/>
      </c>
      <c r="BA107" s="332">
        <f>IF($AU107=BA$3,COUNTIFS($AU$8:$AU107,BA$3,$AT$8:$AT107,BA$4),0)</f>
        <v>0</v>
      </c>
      <c r="BB107" s="331" t="str">
        <f t="shared" si="126"/>
        <v/>
      </c>
      <c r="BC107" s="431">
        <f>IF($AU107=BC$3,COUNTIF($AU$8:$AU107,BC$3),0)</f>
        <v>0</v>
      </c>
      <c r="BD107" s="331" t="str">
        <f t="shared" si="127"/>
        <v/>
      </c>
      <c r="BE107" s="312">
        <f>IF(OR($AU107=BE$3,$AU107=BE$4),COUNTIF($AU$8:$AU107,BE$3)+COUNTIF($AU$8:$AU107,BE$4),0)</f>
        <v>0</v>
      </c>
      <c r="BF107" s="331" t="str">
        <f t="shared" si="128"/>
        <v/>
      </c>
      <c r="BG107" s="312">
        <f>IF($AU107=BG$3,COUNTIF($AU$8:$AU107,BG$3),0)</f>
        <v>0</v>
      </c>
      <c r="BH107" s="331" t="str">
        <f t="shared" si="129"/>
        <v/>
      </c>
      <c r="BI107" s="312">
        <f>IF($AU107&lt;&gt;BI$3,COUNTIF($AU$8:$AU107,"&lt;&gt;"&amp;BI$3),0)</f>
        <v>0</v>
      </c>
      <c r="BJ107" s="331" t="str">
        <f t="shared" si="130"/>
        <v/>
      </c>
      <c r="BK107" s="954"/>
      <c r="BL107" s="954"/>
    </row>
    <row r="108" spans="1:64" ht="15" customHeight="1">
      <c r="A108" s="2686"/>
      <c r="B108" s="2687"/>
      <c r="C108" s="2688"/>
      <c r="D108" s="2261" t="str">
        <f t="shared" si="117"/>
        <v>全職種</v>
      </c>
      <c r="E108" s="2262"/>
      <c r="F108" s="2268"/>
      <c r="G108" s="2278"/>
      <c r="H108" s="2278"/>
      <c r="I108" s="837" t="str">
        <f t="shared" si="104"/>
        <v/>
      </c>
      <c r="J108" s="984" t="str">
        <f t="shared" si="134"/>
        <v/>
      </c>
      <c r="K108" s="1034"/>
      <c r="L108" s="859" t="str">
        <f t="shared" si="105"/>
        <v/>
      </c>
      <c r="M108" s="576">
        <f t="shared" si="106"/>
        <v>0</v>
      </c>
      <c r="N108" s="2619"/>
      <c r="O108" s="2620"/>
      <c r="P108" s="322"/>
      <c r="Q108" s="954"/>
      <c r="R108" s="954"/>
      <c r="S108" s="954"/>
      <c r="T108" s="968" t="str">
        <f t="shared" si="135"/>
        <v>全職種</v>
      </c>
      <c r="U108" s="970">
        <f t="shared" si="108"/>
        <v>0</v>
      </c>
      <c r="V108" s="968">
        <v>2</v>
      </c>
      <c r="W108" s="968" t="b">
        <f t="shared" si="121"/>
        <v>0</v>
      </c>
      <c r="X108" s="463" t="b">
        <f t="shared" ca="1" si="122"/>
        <v>0</v>
      </c>
      <c r="Y108" s="477" t="b">
        <f>COUNTIF($AC$25:AC107,AC108)+COUNTIF(AC109:$AC$124,AC108)-COUNTIF(Z108:AB108,AC108)=0</f>
        <v>0</v>
      </c>
      <c r="Z108" s="478" t="s">
        <v>874</v>
      </c>
      <c r="AA108" s="478" t="s">
        <v>874</v>
      </c>
      <c r="AB108" s="478" t="s">
        <v>874</v>
      </c>
      <c r="AC108" s="971">
        <f t="shared" si="110"/>
        <v>0</v>
      </c>
      <c r="AD108" s="463" t="b">
        <f t="shared" si="119"/>
        <v>0</v>
      </c>
      <c r="AE108" s="425" t="b">
        <f t="shared" si="112"/>
        <v>0</v>
      </c>
      <c r="AF108" s="968" t="str">
        <f t="shared" si="113"/>
        <v/>
      </c>
      <c r="AG108" s="478">
        <f t="shared" si="120"/>
        <v>0</v>
      </c>
      <c r="AH108" s="465">
        <v>2</v>
      </c>
      <c r="AI108" s="431">
        <f t="shared" si="115"/>
        <v>2</v>
      </c>
      <c r="AJ108" s="336">
        <f t="shared" si="116"/>
        <v>0</v>
      </c>
      <c r="AK108" s="310"/>
      <c r="AO108" s="339"/>
      <c r="AP108" s="339"/>
      <c r="AQ108" s="339"/>
      <c r="AR108" s="312">
        <f t="shared" si="103"/>
        <v>101</v>
      </c>
      <c r="AS108" s="1049" t="str">
        <f>AR108&amp;" "&amp;IF(AU108&lt;&gt;"-",【様式2】職員名簿!B137&amp;"/"&amp;AT108&amp;"/"&amp;AU108,"")</f>
        <v xml:space="preserve">101 </v>
      </c>
      <c r="AT108" s="1049">
        <f>【様式2】職員名簿!E137</f>
        <v>0</v>
      </c>
      <c r="AU108" s="1049" t="str">
        <f>IF(【様式2】職員名簿!J137="エラー","-",【様式2】職員名簿!J137)</f>
        <v>-</v>
      </c>
      <c r="AV108" s="430">
        <f>IF($AT108="常勤",$AM$2,IF($AT108="非常勤",【様式2】職員名簿!G137,0))</f>
        <v>0</v>
      </c>
      <c r="AW108" s="330">
        <f>IF($AU108=AW$3,COUNTIF($AU$8:$AU108,AW$3),0)</f>
        <v>0</v>
      </c>
      <c r="AX108" s="331" t="str">
        <f t="shared" si="124"/>
        <v/>
      </c>
      <c r="AY108" s="332">
        <f>IF($AU108=AY$3,COUNTIF($AU$8:$AU108,AY$3),0)</f>
        <v>0</v>
      </c>
      <c r="AZ108" s="331" t="str">
        <f t="shared" si="125"/>
        <v/>
      </c>
      <c r="BA108" s="332">
        <f>IF($AU108=BA$3,COUNTIFS($AU$8:$AU108,BA$3,$AT$8:$AT108,BA$4),0)</f>
        <v>0</v>
      </c>
      <c r="BB108" s="331" t="str">
        <f t="shared" si="126"/>
        <v/>
      </c>
      <c r="BC108" s="431">
        <f>IF($AU108=BC$3,COUNTIF($AU$8:$AU108,BC$3),0)</f>
        <v>0</v>
      </c>
      <c r="BD108" s="331" t="str">
        <f t="shared" si="127"/>
        <v/>
      </c>
      <c r="BE108" s="312">
        <f>IF(OR($AU108=BE$3,$AU108=BE$4),COUNTIF($AU$8:$AU108,BE$3)+COUNTIF($AU$8:$AU108,BE$4),0)</f>
        <v>0</v>
      </c>
      <c r="BF108" s="331" t="str">
        <f t="shared" si="128"/>
        <v/>
      </c>
      <c r="BG108" s="312">
        <f>IF($AU108=BG$3,COUNTIF($AU$8:$AU108,BG$3),0)</f>
        <v>0</v>
      </c>
      <c r="BH108" s="331" t="str">
        <f t="shared" si="129"/>
        <v/>
      </c>
      <c r="BI108" s="312">
        <f>IF($AU108&lt;&gt;BI$3,COUNTIF($AU$8:$AU108,"&lt;&gt;"&amp;BI$3),0)</f>
        <v>0</v>
      </c>
      <c r="BJ108" s="331" t="str">
        <f t="shared" si="130"/>
        <v/>
      </c>
      <c r="BK108" s="954"/>
      <c r="BL108" s="954"/>
    </row>
    <row r="109" spans="1:64" ht="15" customHeight="1">
      <c r="A109" s="2689"/>
      <c r="B109" s="2690"/>
      <c r="C109" s="2691"/>
      <c r="D109" s="2318" t="str">
        <f t="shared" si="117"/>
        <v>全職種</v>
      </c>
      <c r="E109" s="2319"/>
      <c r="F109" s="2316"/>
      <c r="G109" s="2317"/>
      <c r="H109" s="2317"/>
      <c r="I109" s="841" t="str">
        <f t="shared" si="104"/>
        <v/>
      </c>
      <c r="J109" s="829" t="str">
        <f t="shared" si="134"/>
        <v/>
      </c>
      <c r="K109" s="1037"/>
      <c r="L109" s="902" t="str">
        <f t="shared" si="105"/>
        <v/>
      </c>
      <c r="M109" s="534">
        <f t="shared" si="106"/>
        <v>0</v>
      </c>
      <c r="N109" s="2681"/>
      <c r="O109" s="2682"/>
      <c r="P109" s="322"/>
      <c r="Q109" s="954"/>
      <c r="R109" s="954"/>
      <c r="S109" s="954"/>
      <c r="T109" s="968" t="str">
        <f t="shared" si="135"/>
        <v>全職種</v>
      </c>
      <c r="U109" s="970">
        <f t="shared" si="108"/>
        <v>0</v>
      </c>
      <c r="V109" s="968">
        <v>2</v>
      </c>
      <c r="W109" s="968" t="b">
        <f t="shared" si="121"/>
        <v>0</v>
      </c>
      <c r="X109" s="463" t="b">
        <f t="shared" ca="1" si="122"/>
        <v>0</v>
      </c>
      <c r="Y109" s="477" t="b">
        <f>COUNTIF($AC$25:AC108,AC109)+COUNTIF(AC110:$AC$124,AC109)-COUNTIF(Z109:AB109,AC109)=0</f>
        <v>0</v>
      </c>
      <c r="Z109" s="478" t="s">
        <v>874</v>
      </c>
      <c r="AA109" s="478" t="s">
        <v>874</v>
      </c>
      <c r="AB109" s="478" t="s">
        <v>874</v>
      </c>
      <c r="AC109" s="971">
        <f t="shared" si="110"/>
        <v>0</v>
      </c>
      <c r="AD109" s="463" t="b">
        <f t="shared" si="119"/>
        <v>0</v>
      </c>
      <c r="AE109" s="425" t="b">
        <f t="shared" si="112"/>
        <v>0</v>
      </c>
      <c r="AF109" s="968" t="str">
        <f t="shared" si="113"/>
        <v/>
      </c>
      <c r="AG109" s="478">
        <f t="shared" si="120"/>
        <v>0</v>
      </c>
      <c r="AH109" s="465">
        <v>2</v>
      </c>
      <c r="AI109" s="431">
        <f t="shared" si="115"/>
        <v>2</v>
      </c>
      <c r="AJ109" s="336">
        <f t="shared" si="116"/>
        <v>0</v>
      </c>
      <c r="AK109" s="310"/>
      <c r="AO109" s="339"/>
      <c r="AP109" s="339"/>
      <c r="AQ109" s="339"/>
      <c r="AR109" s="312">
        <f t="shared" si="103"/>
        <v>102</v>
      </c>
      <c r="AS109" s="1049" t="str">
        <f>AR109&amp;" "&amp;IF(AU109&lt;&gt;"-",【様式2】職員名簿!B138&amp;"/"&amp;AT109&amp;"/"&amp;AU109,"")</f>
        <v xml:space="preserve">102 </v>
      </c>
      <c r="AT109" s="1049">
        <f>【様式2】職員名簿!E138</f>
        <v>0</v>
      </c>
      <c r="AU109" s="1049" t="str">
        <f>IF(【様式2】職員名簿!J138="エラー","-",【様式2】職員名簿!J138)</f>
        <v>-</v>
      </c>
      <c r="AV109" s="430">
        <f>IF($AT109="常勤",$AM$2,IF($AT109="非常勤",【様式2】職員名簿!G138,0))</f>
        <v>0</v>
      </c>
      <c r="AW109" s="330">
        <f>IF($AU109=AW$3,COUNTIF($AU$8:$AU109,AW$3),0)</f>
        <v>0</v>
      </c>
      <c r="AX109" s="331" t="str">
        <f t="shared" si="124"/>
        <v/>
      </c>
      <c r="AY109" s="332">
        <f>IF($AU109=AY$3,COUNTIF($AU$8:$AU109,AY$3),0)</f>
        <v>0</v>
      </c>
      <c r="AZ109" s="331" t="str">
        <f t="shared" si="125"/>
        <v/>
      </c>
      <c r="BA109" s="332">
        <f>IF($AU109=BA$3,COUNTIFS($AU$8:$AU109,BA$3,$AT$8:$AT109,BA$4),0)</f>
        <v>0</v>
      </c>
      <c r="BB109" s="331" t="str">
        <f t="shared" si="126"/>
        <v/>
      </c>
      <c r="BC109" s="431">
        <f>IF($AU109=BC$3,COUNTIF($AU$8:$AU109,BC$3),0)</f>
        <v>0</v>
      </c>
      <c r="BD109" s="331" t="str">
        <f t="shared" si="127"/>
        <v/>
      </c>
      <c r="BE109" s="312">
        <f>IF(OR($AU109=BE$3,$AU109=BE$4),COUNTIF($AU$8:$AU109,BE$3)+COUNTIF($AU$8:$AU109,BE$4),0)</f>
        <v>0</v>
      </c>
      <c r="BF109" s="331" t="str">
        <f t="shared" si="128"/>
        <v/>
      </c>
      <c r="BG109" s="312">
        <f>IF($AU109=BG$3,COUNTIF($AU$8:$AU109,BG$3),0)</f>
        <v>0</v>
      </c>
      <c r="BH109" s="331" t="str">
        <f t="shared" si="129"/>
        <v/>
      </c>
      <c r="BI109" s="312">
        <f>IF($AU109&lt;&gt;BI$3,COUNTIF($AU$8:$AU109,"&lt;&gt;"&amp;BI$3),0)</f>
        <v>0</v>
      </c>
      <c r="BJ109" s="331" t="str">
        <f t="shared" si="130"/>
        <v/>
      </c>
      <c r="BK109" s="954"/>
      <c r="BL109" s="954"/>
    </row>
    <row r="110" spans="1:64" ht="15" customHeight="1">
      <c r="A110" s="2683" t="s">
        <v>991</v>
      </c>
      <c r="B110" s="2684"/>
      <c r="C110" s="2685"/>
      <c r="D110" s="2286" t="str">
        <f t="shared" si="117"/>
        <v>調理員</v>
      </c>
      <c r="E110" s="2287"/>
      <c r="F110" s="2328"/>
      <c r="G110" s="2329"/>
      <c r="H110" s="2329"/>
      <c r="I110" s="866" t="str">
        <f t="shared" si="104"/>
        <v/>
      </c>
      <c r="J110" s="833" t="str">
        <f t="shared" si="134"/>
        <v/>
      </c>
      <c r="K110" s="1038"/>
      <c r="L110" s="903" t="str">
        <f t="shared" si="105"/>
        <v/>
      </c>
      <c r="M110" s="577">
        <f t="shared" si="106"/>
        <v>0</v>
      </c>
      <c r="N110" s="2677">
        <f>SUM(M110:M112)</f>
        <v>0</v>
      </c>
      <c r="O110" s="2678"/>
      <c r="P110" s="322"/>
      <c r="Q110" s="954"/>
      <c r="R110" s="954"/>
      <c r="S110" s="954"/>
      <c r="T110" s="968" t="str">
        <f t="shared" ref="T110:T112" si="136">$BF$6</f>
        <v>調理員</v>
      </c>
      <c r="U110" s="970">
        <f t="shared" si="108"/>
        <v>0</v>
      </c>
      <c r="V110" s="968">
        <v>2</v>
      </c>
      <c r="W110" s="968" t="b">
        <f t="shared" si="121"/>
        <v>0</v>
      </c>
      <c r="X110" s="463" t="b">
        <f t="shared" ca="1" si="122"/>
        <v>0</v>
      </c>
      <c r="Y110" s="477" t="b">
        <f>COUNTIF($AC$25:AC109,AC110)+COUNTIF(AC111:$AC$124,AC110)-COUNTIF(Z110:AB110,AC110)=0</f>
        <v>0</v>
      </c>
      <c r="Z110" s="478" t="s">
        <v>874</v>
      </c>
      <c r="AA110" s="478" t="s">
        <v>874</v>
      </c>
      <c r="AB110" s="478" t="s">
        <v>874</v>
      </c>
      <c r="AC110" s="971">
        <f t="shared" si="110"/>
        <v>0</v>
      </c>
      <c r="AD110" s="463" t="b">
        <f t="shared" si="119"/>
        <v>0</v>
      </c>
      <c r="AE110" s="425" t="b">
        <f t="shared" si="112"/>
        <v>0</v>
      </c>
      <c r="AF110" s="968" t="str">
        <f t="shared" si="113"/>
        <v/>
      </c>
      <c r="AG110" s="478">
        <f t="shared" si="120"/>
        <v>0</v>
      </c>
      <c r="AH110" s="465">
        <v>2</v>
      </c>
      <c r="AI110" s="431">
        <f t="shared" si="115"/>
        <v>2</v>
      </c>
      <c r="AJ110" s="336">
        <f t="shared" si="116"/>
        <v>0</v>
      </c>
      <c r="AK110" s="310"/>
      <c r="AO110" s="339"/>
      <c r="AP110" s="339"/>
      <c r="AQ110" s="339"/>
      <c r="AR110" s="312">
        <f t="shared" si="103"/>
        <v>103</v>
      </c>
      <c r="AS110" s="1049" t="str">
        <f>AR110&amp;" "&amp;IF(AU110&lt;&gt;"-",【様式2】職員名簿!B139&amp;"/"&amp;AT110&amp;"/"&amp;AU110,"")</f>
        <v xml:space="preserve">103 </v>
      </c>
      <c r="AT110" s="1049">
        <f>【様式2】職員名簿!E139</f>
        <v>0</v>
      </c>
      <c r="AU110" s="1049" t="str">
        <f>IF(【様式2】職員名簿!J139="エラー","-",【様式2】職員名簿!J139)</f>
        <v>-</v>
      </c>
      <c r="AV110" s="430">
        <f>IF($AT110="常勤",$AM$2,IF($AT110="非常勤",【様式2】職員名簿!G139,0))</f>
        <v>0</v>
      </c>
      <c r="AW110" s="330">
        <f>IF($AU110=AW$3,COUNTIF($AU$8:$AU110,AW$3),0)</f>
        <v>0</v>
      </c>
      <c r="AX110" s="331" t="str">
        <f t="shared" si="124"/>
        <v/>
      </c>
      <c r="AY110" s="332">
        <f>IF($AU110=AY$3,COUNTIF($AU$8:$AU110,AY$3),0)</f>
        <v>0</v>
      </c>
      <c r="AZ110" s="331" t="str">
        <f t="shared" si="125"/>
        <v/>
      </c>
      <c r="BA110" s="332">
        <f>IF($AU110=BA$3,COUNTIFS($AU$8:$AU110,BA$3,$AT$8:$AT110,BA$4),0)</f>
        <v>0</v>
      </c>
      <c r="BB110" s="331" t="str">
        <f t="shared" si="126"/>
        <v/>
      </c>
      <c r="BC110" s="431">
        <f>IF($AU110=BC$3,COUNTIF($AU$8:$AU110,BC$3),0)</f>
        <v>0</v>
      </c>
      <c r="BD110" s="331" t="str">
        <f t="shared" si="127"/>
        <v/>
      </c>
      <c r="BE110" s="312">
        <f>IF(OR($AU110=BE$3,$AU110=BE$4),COUNTIF($AU$8:$AU110,BE$3)+COUNTIF($AU$8:$AU110,BE$4),0)</f>
        <v>0</v>
      </c>
      <c r="BF110" s="331" t="str">
        <f t="shared" si="128"/>
        <v/>
      </c>
      <c r="BG110" s="312">
        <f>IF($AU110=BG$3,COUNTIF($AU$8:$AU110,BG$3),0)</f>
        <v>0</v>
      </c>
      <c r="BH110" s="331" t="str">
        <f t="shared" si="129"/>
        <v/>
      </c>
      <c r="BI110" s="312">
        <f>IF($AU110&lt;&gt;BI$3,COUNTIF($AU$8:$AU110,"&lt;&gt;"&amp;BI$3),0)</f>
        <v>0</v>
      </c>
      <c r="BJ110" s="331" t="str">
        <f t="shared" si="130"/>
        <v/>
      </c>
      <c r="BK110" s="954"/>
      <c r="BL110" s="954"/>
    </row>
    <row r="111" spans="1:64" ht="15" customHeight="1" thickBot="1">
      <c r="A111" s="2686"/>
      <c r="B111" s="2687"/>
      <c r="C111" s="2688"/>
      <c r="D111" s="2261" t="str">
        <f t="shared" si="117"/>
        <v>調理員</v>
      </c>
      <c r="E111" s="2262"/>
      <c r="F111" s="2268"/>
      <c r="G111" s="2278"/>
      <c r="H111" s="2278"/>
      <c r="I111" s="837" t="str">
        <f t="shared" si="104"/>
        <v/>
      </c>
      <c r="J111" s="984" t="str">
        <f t="shared" si="118"/>
        <v/>
      </c>
      <c r="K111" s="1034"/>
      <c r="L111" s="859" t="str">
        <f t="shared" si="105"/>
        <v/>
      </c>
      <c r="M111" s="576">
        <f t="shared" si="106"/>
        <v>0</v>
      </c>
      <c r="N111" s="2619"/>
      <c r="O111" s="2620"/>
      <c r="P111" s="322"/>
      <c r="Q111" s="954"/>
      <c r="R111" s="954"/>
      <c r="S111" s="954"/>
      <c r="T111" s="968" t="str">
        <f t="shared" si="136"/>
        <v>調理員</v>
      </c>
      <c r="U111" s="970">
        <f t="shared" si="108"/>
        <v>0</v>
      </c>
      <c r="V111" s="968">
        <v>2</v>
      </c>
      <c r="W111" s="968" t="b">
        <f t="shared" si="121"/>
        <v>0</v>
      </c>
      <c r="X111" s="463" t="b">
        <f t="shared" ca="1" si="122"/>
        <v>0</v>
      </c>
      <c r="Y111" s="477" t="b">
        <f>COUNTIF($AC$25:AC110,AC111)+COUNTIF(AC112:$AC$124,AC111)-COUNTIF(Z111:AB111,AC111)=0</f>
        <v>0</v>
      </c>
      <c r="Z111" s="478" t="s">
        <v>874</v>
      </c>
      <c r="AA111" s="478" t="s">
        <v>874</v>
      </c>
      <c r="AB111" s="478" t="s">
        <v>874</v>
      </c>
      <c r="AC111" s="971">
        <f t="shared" si="110"/>
        <v>0</v>
      </c>
      <c r="AD111" s="463" t="b">
        <f t="shared" si="119"/>
        <v>0</v>
      </c>
      <c r="AE111" s="425" t="b">
        <f t="shared" si="112"/>
        <v>0</v>
      </c>
      <c r="AF111" s="968" t="str">
        <f t="shared" si="113"/>
        <v/>
      </c>
      <c r="AG111" s="478">
        <f t="shared" si="120"/>
        <v>0</v>
      </c>
      <c r="AH111" s="465">
        <v>2</v>
      </c>
      <c r="AI111" s="431">
        <f t="shared" si="115"/>
        <v>2</v>
      </c>
      <c r="AJ111" s="336">
        <f t="shared" si="116"/>
        <v>0</v>
      </c>
      <c r="AK111" s="310"/>
      <c r="AO111" s="339"/>
      <c r="AP111" s="339"/>
      <c r="AQ111" s="339"/>
      <c r="AR111" s="312">
        <f t="shared" si="103"/>
        <v>104</v>
      </c>
      <c r="AS111" s="1060" t="str">
        <f>AR111&amp;" "&amp;IF(AU111&lt;&gt;"-",【様式2】職員名簿!B140&amp;"/"&amp;AT111&amp;"/"&amp;AU111,"")</f>
        <v xml:space="preserve">104 </v>
      </c>
      <c r="AT111" s="1060">
        <f>【様式2】職員名簿!E140</f>
        <v>0</v>
      </c>
      <c r="AU111" s="1060" t="str">
        <f>IF(【様式2】職員名簿!J140="エラー","-",【様式2】職員名簿!J140)</f>
        <v>-</v>
      </c>
      <c r="AV111" s="430">
        <f>IF($AT111="常勤",$AM$2,IF($AT111="非常勤",【様式2】職員名簿!G140,0))</f>
        <v>0</v>
      </c>
      <c r="AW111" s="330">
        <f>IF($AU111=AW$3,COUNTIF($AU$8:$AU111,AW$3),0)</f>
        <v>0</v>
      </c>
      <c r="AX111" s="355" t="str">
        <f t="shared" si="124"/>
        <v/>
      </c>
      <c r="AY111" s="332">
        <f>IF($AU111=AY$3,COUNTIF($AU$8:$AU111,AY$3),0)</f>
        <v>0</v>
      </c>
      <c r="AZ111" s="355" t="str">
        <f t="shared" si="125"/>
        <v/>
      </c>
      <c r="BA111" s="332">
        <f>IF($AU111=BA$3,COUNTIFS($AU$8:$AU111,BA$3,$AT$8:$AT111,BA$4),0)</f>
        <v>0</v>
      </c>
      <c r="BB111" s="355" t="str">
        <f t="shared" si="126"/>
        <v/>
      </c>
      <c r="BC111" s="431">
        <f>IF($AU111=BC$3,COUNTIF($AU$8:$AU111,BC$3),0)</f>
        <v>0</v>
      </c>
      <c r="BD111" s="355" t="str">
        <f t="shared" si="127"/>
        <v/>
      </c>
      <c r="BE111" s="312">
        <f>IF(OR($AU111=BE$3,$AU111=BE$4),COUNTIF($AU$8:$AU111,BE$3)+COUNTIF($AU$8:$AU111,BE$4),0)</f>
        <v>0</v>
      </c>
      <c r="BF111" s="355" t="str">
        <f t="shared" si="128"/>
        <v/>
      </c>
      <c r="BG111" s="312">
        <f>IF($AU111=BG$3,COUNTIF($AU$8:$AU111,BG$3),0)</f>
        <v>0</v>
      </c>
      <c r="BH111" s="355" t="str">
        <f t="shared" si="129"/>
        <v/>
      </c>
      <c r="BI111" s="312">
        <f>IF($AU111&lt;&gt;BI$3,COUNTIF($AU$8:$AU111,"&lt;&gt;"&amp;BI$3),0)</f>
        <v>0</v>
      </c>
      <c r="BJ111" s="355" t="str">
        <f t="shared" si="130"/>
        <v/>
      </c>
      <c r="BK111" s="954"/>
      <c r="BL111" s="954"/>
    </row>
    <row r="112" spans="1:64" ht="15" customHeight="1" thickTop="1">
      <c r="A112" s="2689"/>
      <c r="B112" s="2690"/>
      <c r="C112" s="2691"/>
      <c r="D112" s="2318" t="str">
        <f t="shared" si="117"/>
        <v>調理員</v>
      </c>
      <c r="E112" s="2319"/>
      <c r="F112" s="2316"/>
      <c r="G112" s="2317"/>
      <c r="H112" s="2317"/>
      <c r="I112" s="841" t="str">
        <f t="shared" si="104"/>
        <v/>
      </c>
      <c r="J112" s="829" t="str">
        <f t="shared" si="118"/>
        <v/>
      </c>
      <c r="K112" s="1037"/>
      <c r="L112" s="902" t="str">
        <f t="shared" si="105"/>
        <v/>
      </c>
      <c r="M112" s="534">
        <f t="shared" si="106"/>
        <v>0</v>
      </c>
      <c r="N112" s="2681"/>
      <c r="O112" s="2682"/>
      <c r="P112" s="322"/>
      <c r="Q112" s="954"/>
      <c r="R112" s="954"/>
      <c r="S112" s="954"/>
      <c r="T112" s="968" t="str">
        <f t="shared" si="136"/>
        <v>調理員</v>
      </c>
      <c r="U112" s="970">
        <f t="shared" si="108"/>
        <v>0</v>
      </c>
      <c r="V112" s="968">
        <v>2</v>
      </c>
      <c r="W112" s="968" t="b">
        <f t="shared" si="121"/>
        <v>0</v>
      </c>
      <c r="X112" s="463" t="b">
        <f t="shared" ca="1" si="122"/>
        <v>0</v>
      </c>
      <c r="Y112" s="477" t="b">
        <f>COUNTIF($AC$25:AC111,AC112)+COUNTIF(AC113:$AC$124,AC112)-COUNTIF(Z112:AB112,AC112)=0</f>
        <v>0</v>
      </c>
      <c r="Z112" s="478" t="s">
        <v>874</v>
      </c>
      <c r="AA112" s="478" t="s">
        <v>874</v>
      </c>
      <c r="AB112" s="478" t="s">
        <v>874</v>
      </c>
      <c r="AC112" s="971">
        <f t="shared" si="110"/>
        <v>0</v>
      </c>
      <c r="AD112" s="463" t="b">
        <f t="shared" si="119"/>
        <v>0</v>
      </c>
      <c r="AE112" s="425" t="b">
        <f t="shared" si="112"/>
        <v>0</v>
      </c>
      <c r="AF112" s="968" t="str">
        <f t="shared" si="113"/>
        <v/>
      </c>
      <c r="AG112" s="478">
        <f t="shared" si="120"/>
        <v>0</v>
      </c>
      <c r="AH112" s="465">
        <v>2</v>
      </c>
      <c r="AI112" s="431">
        <f t="shared" si="115"/>
        <v>2</v>
      </c>
      <c r="AJ112" s="336">
        <f t="shared" si="116"/>
        <v>0</v>
      </c>
      <c r="AO112" s="339"/>
      <c r="AP112" s="339"/>
      <c r="AQ112" s="339"/>
      <c r="AR112" s="310"/>
      <c r="AS112" s="310"/>
      <c r="AT112" s="310"/>
      <c r="AU112" s="310"/>
      <c r="AV112" s="310"/>
      <c r="AW112" s="310"/>
      <c r="AX112" s="310"/>
      <c r="AY112" s="310"/>
      <c r="AZ112" s="310"/>
      <c r="BA112" s="310"/>
      <c r="BB112" s="310"/>
      <c r="BC112" s="310"/>
      <c r="BD112" s="310"/>
      <c r="BE112" s="310"/>
      <c r="BF112" s="310"/>
      <c r="BG112" s="310"/>
      <c r="BH112" s="310"/>
      <c r="BI112" s="310"/>
      <c r="BJ112" s="310"/>
      <c r="BK112" s="310"/>
      <c r="BL112" s="310"/>
    </row>
    <row r="113" spans="1:64" ht="15" customHeight="1">
      <c r="A113" s="2701" t="s">
        <v>808</v>
      </c>
      <c r="B113" s="2654"/>
      <c r="C113" s="2655"/>
      <c r="D113" s="2286" t="str">
        <f t="shared" si="117"/>
        <v>全職種</v>
      </c>
      <c r="E113" s="2287"/>
      <c r="F113" s="2328"/>
      <c r="G113" s="2329"/>
      <c r="H113" s="2329"/>
      <c r="I113" s="866" t="str">
        <f t="shared" si="104"/>
        <v/>
      </c>
      <c r="J113" s="833" t="str">
        <f t="shared" ref="J113:J117" si="137">IF(OR(F113=0,F113=""),"",IF(W113,IF(X113,IF(OR(Y113,V113=3),IF(AD113,IF(OR(AE113,V113=2,V113=3),"○","要常勤"),"時間無"),"重複"),"名簿無"),"対象外"))</f>
        <v/>
      </c>
      <c r="K113" s="1038"/>
      <c r="L113" s="903" t="str">
        <f t="shared" si="105"/>
        <v/>
      </c>
      <c r="M113" s="577">
        <f t="shared" si="106"/>
        <v>0</v>
      </c>
      <c r="N113" s="2677">
        <f>SUM(M113:M122)</f>
        <v>0</v>
      </c>
      <c r="O113" s="2678"/>
      <c r="P113" s="322"/>
      <c r="Q113" s="954"/>
      <c r="R113" s="954"/>
      <c r="S113" s="954"/>
      <c r="T113" s="968" t="str">
        <f t="shared" si="135"/>
        <v>全職種</v>
      </c>
      <c r="U113" s="970">
        <f t="shared" si="108"/>
        <v>0</v>
      </c>
      <c r="V113" s="968">
        <v>2</v>
      </c>
      <c r="W113" s="968" t="b">
        <f t="shared" si="121"/>
        <v>0</v>
      </c>
      <c r="X113" s="463" t="b">
        <f t="shared" ca="1" si="122"/>
        <v>0</v>
      </c>
      <c r="Y113" s="477" t="b">
        <f>COUNTIF($AC$25:AC112,AC113)+COUNTIF(AC114:$AC$124,AC113)-COUNTIF(Z113:AB113,AC113)=0</f>
        <v>0</v>
      </c>
      <c r="Z113" s="478" t="s">
        <v>874</v>
      </c>
      <c r="AA113" s="478" t="s">
        <v>874</v>
      </c>
      <c r="AB113" s="478" t="s">
        <v>874</v>
      </c>
      <c r="AC113" s="971">
        <f t="shared" si="110"/>
        <v>0</v>
      </c>
      <c r="AD113" s="463" t="b">
        <f t="shared" si="119"/>
        <v>0</v>
      </c>
      <c r="AE113" s="425" t="b">
        <f t="shared" si="112"/>
        <v>0</v>
      </c>
      <c r="AF113" s="968" t="str">
        <f t="shared" si="113"/>
        <v/>
      </c>
      <c r="AG113" s="478">
        <f t="shared" si="120"/>
        <v>0</v>
      </c>
      <c r="AH113" s="465">
        <v>2</v>
      </c>
      <c r="AI113" s="431">
        <f t="shared" si="115"/>
        <v>2</v>
      </c>
      <c r="AJ113" s="336">
        <f t="shared" si="116"/>
        <v>0</v>
      </c>
      <c r="AO113" s="339"/>
      <c r="AP113" s="339"/>
      <c r="AQ113" s="339"/>
      <c r="AR113" s="310"/>
      <c r="AS113" s="310"/>
      <c r="AT113" s="310"/>
      <c r="AU113" s="310"/>
      <c r="AV113" s="310"/>
      <c r="AW113" s="310"/>
      <c r="AX113" s="310"/>
      <c r="AY113" s="310"/>
      <c r="AZ113" s="310"/>
      <c r="BA113" s="310"/>
      <c r="BB113" s="310"/>
      <c r="BC113" s="310"/>
      <c r="BD113" s="310"/>
      <c r="BE113" s="310"/>
      <c r="BF113" s="310"/>
      <c r="BG113" s="310"/>
      <c r="BH113" s="310"/>
      <c r="BI113" s="310"/>
      <c r="BJ113" s="310"/>
      <c r="BK113" s="310"/>
      <c r="BL113" s="310"/>
    </row>
    <row r="114" spans="1:64" ht="15" customHeight="1">
      <c r="A114" s="2702"/>
      <c r="B114" s="2367"/>
      <c r="C114" s="2368"/>
      <c r="D114" s="2261" t="str">
        <f t="shared" si="117"/>
        <v>全職種</v>
      </c>
      <c r="E114" s="2262"/>
      <c r="F114" s="2268"/>
      <c r="G114" s="2278"/>
      <c r="H114" s="2278"/>
      <c r="I114" s="837" t="str">
        <f t="shared" si="104"/>
        <v/>
      </c>
      <c r="J114" s="984" t="str">
        <f t="shared" si="137"/>
        <v/>
      </c>
      <c r="K114" s="1034"/>
      <c r="L114" s="859" t="str">
        <f t="shared" si="105"/>
        <v/>
      </c>
      <c r="M114" s="576">
        <f t="shared" si="106"/>
        <v>0</v>
      </c>
      <c r="N114" s="2619"/>
      <c r="O114" s="2620"/>
      <c r="P114" s="322"/>
      <c r="Q114" s="954"/>
      <c r="R114" s="954"/>
      <c r="S114" s="954"/>
      <c r="T114" s="968" t="str">
        <f t="shared" si="135"/>
        <v>全職種</v>
      </c>
      <c r="U114" s="970">
        <f t="shared" si="108"/>
        <v>0</v>
      </c>
      <c r="V114" s="968">
        <v>2</v>
      </c>
      <c r="W114" s="968" t="b">
        <f t="shared" si="121"/>
        <v>0</v>
      </c>
      <c r="X114" s="463" t="b">
        <f t="shared" ca="1" si="122"/>
        <v>0</v>
      </c>
      <c r="Y114" s="477" t="b">
        <f>COUNTIF($AC$25:AC113,AC114)+COUNTIF(AC115:$AC$124,AC114)-COUNTIF(Z114:AB114,AC114)=0</f>
        <v>0</v>
      </c>
      <c r="Z114" s="478" t="s">
        <v>874</v>
      </c>
      <c r="AA114" s="478" t="s">
        <v>874</v>
      </c>
      <c r="AB114" s="478" t="s">
        <v>874</v>
      </c>
      <c r="AC114" s="971">
        <f t="shared" si="110"/>
        <v>0</v>
      </c>
      <c r="AD114" s="463" t="b">
        <f t="shared" si="119"/>
        <v>0</v>
      </c>
      <c r="AE114" s="425" t="b">
        <f t="shared" si="112"/>
        <v>0</v>
      </c>
      <c r="AF114" s="968" t="str">
        <f t="shared" si="113"/>
        <v/>
      </c>
      <c r="AG114" s="478">
        <f t="shared" si="120"/>
        <v>0</v>
      </c>
      <c r="AH114" s="465">
        <v>2</v>
      </c>
      <c r="AI114" s="431">
        <f t="shared" si="115"/>
        <v>2</v>
      </c>
      <c r="AJ114" s="336">
        <f t="shared" si="116"/>
        <v>0</v>
      </c>
      <c r="AO114" s="339"/>
      <c r="AP114" s="339"/>
      <c r="AQ114" s="339"/>
      <c r="AR114" s="310"/>
      <c r="AS114" s="310"/>
      <c r="AT114" s="310"/>
      <c r="AU114" s="310"/>
      <c r="AV114" s="310"/>
      <c r="AW114" s="310"/>
      <c r="AX114" s="310"/>
      <c r="AY114" s="310"/>
      <c r="AZ114" s="310"/>
      <c r="BA114" s="310"/>
      <c r="BB114" s="310"/>
      <c r="BC114" s="310"/>
      <c r="BD114" s="310"/>
      <c r="BE114" s="310"/>
      <c r="BF114" s="310"/>
      <c r="BG114" s="310"/>
      <c r="BH114" s="310"/>
      <c r="BI114" s="310"/>
      <c r="BJ114" s="310"/>
      <c r="BK114" s="310"/>
      <c r="BL114" s="310"/>
    </row>
    <row r="115" spans="1:64" ht="15" customHeight="1">
      <c r="A115" s="2702"/>
      <c r="B115" s="2367"/>
      <c r="C115" s="2368"/>
      <c r="D115" s="2261" t="str">
        <f t="shared" si="117"/>
        <v>全職種</v>
      </c>
      <c r="E115" s="2262"/>
      <c r="F115" s="2268"/>
      <c r="G115" s="2278"/>
      <c r="H115" s="2278"/>
      <c r="I115" s="837" t="str">
        <f t="shared" si="104"/>
        <v/>
      </c>
      <c r="J115" s="984" t="str">
        <f t="shared" si="137"/>
        <v/>
      </c>
      <c r="K115" s="1034"/>
      <c r="L115" s="859" t="str">
        <f t="shared" si="105"/>
        <v/>
      </c>
      <c r="M115" s="576">
        <f t="shared" si="106"/>
        <v>0</v>
      </c>
      <c r="N115" s="2619"/>
      <c r="O115" s="2620"/>
      <c r="P115" s="322"/>
      <c r="Q115" s="954"/>
      <c r="R115" s="954"/>
      <c r="S115" s="954"/>
      <c r="T115" s="968" t="str">
        <f t="shared" si="135"/>
        <v>全職種</v>
      </c>
      <c r="U115" s="970">
        <f t="shared" si="108"/>
        <v>0</v>
      </c>
      <c r="V115" s="968">
        <v>2</v>
      </c>
      <c r="W115" s="968" t="b">
        <f t="shared" si="121"/>
        <v>0</v>
      </c>
      <c r="X115" s="463" t="b">
        <f t="shared" ca="1" si="122"/>
        <v>0</v>
      </c>
      <c r="Y115" s="477" t="b">
        <f>COUNTIF($AC$25:AC114,AC115)+COUNTIF(AC116:$AC$124,AC115)-COUNTIF(Z115:AB115,AC115)=0</f>
        <v>0</v>
      </c>
      <c r="Z115" s="478" t="s">
        <v>874</v>
      </c>
      <c r="AA115" s="478" t="s">
        <v>874</v>
      </c>
      <c r="AB115" s="478" t="s">
        <v>874</v>
      </c>
      <c r="AC115" s="971">
        <f t="shared" si="110"/>
        <v>0</v>
      </c>
      <c r="AD115" s="463" t="b">
        <f t="shared" si="119"/>
        <v>0</v>
      </c>
      <c r="AE115" s="425" t="b">
        <f t="shared" si="112"/>
        <v>0</v>
      </c>
      <c r="AF115" s="968" t="str">
        <f t="shared" si="113"/>
        <v/>
      </c>
      <c r="AG115" s="478">
        <f t="shared" si="120"/>
        <v>0</v>
      </c>
      <c r="AH115" s="465">
        <v>2</v>
      </c>
      <c r="AI115" s="431">
        <f t="shared" si="115"/>
        <v>2</v>
      </c>
      <c r="AJ115" s="336">
        <f t="shared" si="116"/>
        <v>0</v>
      </c>
      <c r="AO115" s="339"/>
      <c r="AP115" s="339"/>
      <c r="AQ115" s="339"/>
      <c r="AR115" s="310"/>
      <c r="AS115" s="310"/>
      <c r="AT115" s="310"/>
      <c r="AU115" s="310"/>
      <c r="AV115" s="310"/>
      <c r="AW115" s="310"/>
      <c r="AX115" s="310"/>
      <c r="AY115" s="310"/>
      <c r="AZ115" s="310"/>
      <c r="BA115" s="310"/>
      <c r="BB115" s="310"/>
      <c r="BC115" s="310"/>
      <c r="BD115" s="310"/>
      <c r="BE115" s="310"/>
      <c r="BF115" s="310"/>
      <c r="BG115" s="310"/>
      <c r="BH115" s="310"/>
      <c r="BI115" s="310"/>
      <c r="BJ115" s="310"/>
      <c r="BK115" s="310"/>
      <c r="BL115" s="310"/>
    </row>
    <row r="116" spans="1:64" ht="15" customHeight="1">
      <c r="A116" s="2702"/>
      <c r="B116" s="2367"/>
      <c r="C116" s="2368"/>
      <c r="D116" s="2261" t="str">
        <f t="shared" si="117"/>
        <v>全職種</v>
      </c>
      <c r="E116" s="2262"/>
      <c r="F116" s="2268"/>
      <c r="G116" s="2278"/>
      <c r="H116" s="2278"/>
      <c r="I116" s="837" t="str">
        <f t="shared" si="104"/>
        <v/>
      </c>
      <c r="J116" s="984" t="str">
        <f t="shared" si="137"/>
        <v/>
      </c>
      <c r="K116" s="1034"/>
      <c r="L116" s="859" t="str">
        <f t="shared" si="105"/>
        <v/>
      </c>
      <c r="M116" s="576">
        <f t="shared" si="106"/>
        <v>0</v>
      </c>
      <c r="N116" s="2619"/>
      <c r="O116" s="2620"/>
      <c r="P116" s="322"/>
      <c r="Q116" s="954"/>
      <c r="R116" s="954"/>
      <c r="S116" s="954"/>
      <c r="T116" s="968" t="str">
        <f t="shared" si="135"/>
        <v>全職種</v>
      </c>
      <c r="U116" s="970">
        <f t="shared" si="108"/>
        <v>0</v>
      </c>
      <c r="V116" s="968">
        <v>2</v>
      </c>
      <c r="W116" s="968" t="b">
        <f t="shared" si="121"/>
        <v>0</v>
      </c>
      <c r="X116" s="463" t="b">
        <f t="shared" ca="1" si="122"/>
        <v>0</v>
      </c>
      <c r="Y116" s="477" t="b">
        <f>COUNTIF($AC$25:AC115,AC116)+COUNTIF(AC117:$AC$124,AC116)-COUNTIF(Z116:AB116,AC116)=0</f>
        <v>0</v>
      </c>
      <c r="Z116" s="478" t="s">
        <v>874</v>
      </c>
      <c r="AA116" s="478" t="s">
        <v>874</v>
      </c>
      <c r="AB116" s="478" t="s">
        <v>874</v>
      </c>
      <c r="AC116" s="971">
        <f t="shared" si="110"/>
        <v>0</v>
      </c>
      <c r="AD116" s="463" t="b">
        <f t="shared" si="119"/>
        <v>0</v>
      </c>
      <c r="AE116" s="425" t="b">
        <f t="shared" si="112"/>
        <v>0</v>
      </c>
      <c r="AF116" s="968" t="str">
        <f t="shared" si="113"/>
        <v/>
      </c>
      <c r="AG116" s="478">
        <f t="shared" si="120"/>
        <v>0</v>
      </c>
      <c r="AH116" s="465">
        <v>2</v>
      </c>
      <c r="AI116" s="431">
        <f t="shared" si="115"/>
        <v>2</v>
      </c>
      <c r="AJ116" s="336">
        <f t="shared" si="116"/>
        <v>0</v>
      </c>
      <c r="AO116" s="339"/>
      <c r="AP116" s="339"/>
      <c r="AQ116" s="339"/>
      <c r="AR116" s="310"/>
      <c r="AS116" s="310"/>
      <c r="AT116" s="310"/>
      <c r="AU116" s="310"/>
      <c r="AV116" s="310"/>
      <c r="AW116" s="310"/>
      <c r="AX116" s="310"/>
      <c r="AY116" s="310"/>
      <c r="AZ116" s="310"/>
      <c r="BA116" s="310"/>
      <c r="BB116" s="310"/>
      <c r="BC116" s="310"/>
      <c r="BD116" s="310"/>
      <c r="BE116" s="310"/>
      <c r="BF116" s="310"/>
      <c r="BG116" s="310"/>
      <c r="BH116" s="310"/>
      <c r="BI116" s="310"/>
      <c r="BJ116" s="310"/>
      <c r="BK116" s="310"/>
      <c r="BL116" s="310"/>
    </row>
    <row r="117" spans="1:64" ht="15" customHeight="1">
      <c r="A117" s="2702"/>
      <c r="B117" s="2367"/>
      <c r="C117" s="2368"/>
      <c r="D117" s="2261" t="str">
        <f t="shared" si="117"/>
        <v>全職種</v>
      </c>
      <c r="E117" s="2262"/>
      <c r="F117" s="2268"/>
      <c r="G117" s="2278"/>
      <c r="H117" s="2278"/>
      <c r="I117" s="837" t="str">
        <f t="shared" si="104"/>
        <v/>
      </c>
      <c r="J117" s="984" t="str">
        <f t="shared" si="137"/>
        <v/>
      </c>
      <c r="K117" s="1034"/>
      <c r="L117" s="859" t="str">
        <f t="shared" si="105"/>
        <v/>
      </c>
      <c r="M117" s="576">
        <f t="shared" si="106"/>
        <v>0</v>
      </c>
      <c r="N117" s="2619"/>
      <c r="O117" s="2620"/>
      <c r="P117" s="322"/>
      <c r="Q117" s="954"/>
      <c r="R117" s="954"/>
      <c r="S117" s="954"/>
      <c r="T117" s="968" t="str">
        <f t="shared" si="135"/>
        <v>全職種</v>
      </c>
      <c r="U117" s="970">
        <f t="shared" si="108"/>
        <v>0</v>
      </c>
      <c r="V117" s="968">
        <v>2</v>
      </c>
      <c r="W117" s="968" t="b">
        <f t="shared" si="121"/>
        <v>0</v>
      </c>
      <c r="X117" s="463" t="b">
        <f t="shared" ca="1" si="122"/>
        <v>0</v>
      </c>
      <c r="Y117" s="477" t="b">
        <f>COUNTIF($AC$25:AC116,AC117)+COUNTIF(AC118:$AC$124,AC117)-COUNTIF(Z117:AB117,AC117)=0</f>
        <v>0</v>
      </c>
      <c r="Z117" s="478" t="s">
        <v>874</v>
      </c>
      <c r="AA117" s="478" t="s">
        <v>874</v>
      </c>
      <c r="AB117" s="478" t="s">
        <v>874</v>
      </c>
      <c r="AC117" s="971">
        <f t="shared" si="110"/>
        <v>0</v>
      </c>
      <c r="AD117" s="463" t="b">
        <f t="shared" si="119"/>
        <v>0</v>
      </c>
      <c r="AE117" s="425" t="b">
        <f t="shared" si="112"/>
        <v>0</v>
      </c>
      <c r="AF117" s="968" t="str">
        <f t="shared" si="113"/>
        <v/>
      </c>
      <c r="AG117" s="478">
        <f t="shared" si="120"/>
        <v>0</v>
      </c>
      <c r="AH117" s="465">
        <v>2</v>
      </c>
      <c r="AI117" s="431">
        <f t="shared" si="115"/>
        <v>2</v>
      </c>
      <c r="AJ117" s="336">
        <f t="shared" si="116"/>
        <v>0</v>
      </c>
      <c r="AO117" s="339"/>
      <c r="AP117" s="339"/>
      <c r="AQ117" s="339"/>
      <c r="AR117" s="310"/>
      <c r="AS117" s="310"/>
      <c r="AT117" s="310"/>
      <c r="AU117" s="310"/>
      <c r="AV117" s="310"/>
      <c r="AW117" s="310"/>
      <c r="AX117" s="310"/>
    </row>
    <row r="118" spans="1:64" ht="15" customHeight="1">
      <c r="A118" s="2702"/>
      <c r="B118" s="2367"/>
      <c r="C118" s="2368"/>
      <c r="D118" s="2261" t="str">
        <f t="shared" si="117"/>
        <v>全職種</v>
      </c>
      <c r="E118" s="2262"/>
      <c r="F118" s="2268"/>
      <c r="G118" s="2278"/>
      <c r="H118" s="2278"/>
      <c r="I118" s="837" t="str">
        <f t="shared" si="104"/>
        <v/>
      </c>
      <c r="J118" s="984" t="str">
        <f t="shared" si="118"/>
        <v/>
      </c>
      <c r="K118" s="1034"/>
      <c r="L118" s="859" t="str">
        <f t="shared" si="105"/>
        <v/>
      </c>
      <c r="M118" s="576">
        <f t="shared" si="106"/>
        <v>0</v>
      </c>
      <c r="N118" s="2619"/>
      <c r="O118" s="2620"/>
      <c r="P118" s="322"/>
      <c r="Q118" s="954"/>
      <c r="R118" s="954"/>
      <c r="S118" s="954"/>
      <c r="T118" s="968" t="str">
        <f t="shared" si="135"/>
        <v>全職種</v>
      </c>
      <c r="U118" s="970">
        <f t="shared" si="108"/>
        <v>0</v>
      </c>
      <c r="V118" s="968">
        <v>2</v>
      </c>
      <c r="W118" s="968" t="b">
        <f t="shared" si="121"/>
        <v>0</v>
      </c>
      <c r="X118" s="463" t="b">
        <f t="shared" ca="1" si="122"/>
        <v>0</v>
      </c>
      <c r="Y118" s="477" t="b">
        <f>COUNTIF($AC$25:AC117,AC118)+COUNTIF(AC119:$AC$124,AC118)-COUNTIF(Z118:AB118,AC118)=0</f>
        <v>0</v>
      </c>
      <c r="Z118" s="478" t="s">
        <v>874</v>
      </c>
      <c r="AA118" s="478" t="s">
        <v>874</v>
      </c>
      <c r="AB118" s="478" t="s">
        <v>874</v>
      </c>
      <c r="AC118" s="971">
        <f t="shared" si="110"/>
        <v>0</v>
      </c>
      <c r="AD118" s="463" t="b">
        <f t="shared" si="119"/>
        <v>0</v>
      </c>
      <c r="AE118" s="425" t="b">
        <f t="shared" si="112"/>
        <v>0</v>
      </c>
      <c r="AF118" s="968" t="str">
        <f t="shared" si="113"/>
        <v/>
      </c>
      <c r="AG118" s="478">
        <f t="shared" si="120"/>
        <v>0</v>
      </c>
      <c r="AH118" s="465">
        <v>2</v>
      </c>
      <c r="AI118" s="431">
        <f t="shared" si="115"/>
        <v>2</v>
      </c>
      <c r="AJ118" s="336">
        <f t="shared" si="116"/>
        <v>0</v>
      </c>
      <c r="AO118" s="339"/>
      <c r="AP118" s="339"/>
      <c r="AQ118" s="339"/>
      <c r="AR118" s="310"/>
      <c r="AS118" s="310"/>
      <c r="AT118" s="310"/>
      <c r="AU118" s="310"/>
      <c r="AV118" s="310"/>
      <c r="AW118" s="310"/>
      <c r="AX118" s="310"/>
    </row>
    <row r="119" spans="1:64" ht="15" customHeight="1">
      <c r="A119" s="2702"/>
      <c r="B119" s="2367"/>
      <c r="C119" s="2368"/>
      <c r="D119" s="2261" t="str">
        <f t="shared" si="117"/>
        <v>全職種</v>
      </c>
      <c r="E119" s="2262"/>
      <c r="F119" s="2268"/>
      <c r="G119" s="2278"/>
      <c r="H119" s="2278"/>
      <c r="I119" s="837" t="str">
        <f t="shared" si="104"/>
        <v/>
      </c>
      <c r="J119" s="984" t="str">
        <f t="shared" si="118"/>
        <v/>
      </c>
      <c r="K119" s="1034"/>
      <c r="L119" s="859" t="str">
        <f t="shared" si="105"/>
        <v/>
      </c>
      <c r="M119" s="576">
        <f t="shared" si="106"/>
        <v>0</v>
      </c>
      <c r="N119" s="2619"/>
      <c r="O119" s="2620"/>
      <c r="P119" s="322"/>
      <c r="Q119" s="954"/>
      <c r="R119" s="954"/>
      <c r="S119" s="954"/>
      <c r="T119" s="968" t="str">
        <f t="shared" si="135"/>
        <v>全職種</v>
      </c>
      <c r="U119" s="970">
        <f t="shared" si="108"/>
        <v>0</v>
      </c>
      <c r="V119" s="968">
        <v>2</v>
      </c>
      <c r="W119" s="968" t="b">
        <f t="shared" si="121"/>
        <v>0</v>
      </c>
      <c r="X119" s="463" t="b">
        <f t="shared" ca="1" si="122"/>
        <v>0</v>
      </c>
      <c r="Y119" s="477" t="b">
        <f>COUNTIF($AC$25:AC118,AC119)+COUNTIF(AC120:$AC$124,AC119)-COUNTIF(Z119:AB119,AC119)=0</f>
        <v>0</v>
      </c>
      <c r="Z119" s="478" t="s">
        <v>874</v>
      </c>
      <c r="AA119" s="478" t="s">
        <v>874</v>
      </c>
      <c r="AB119" s="478" t="s">
        <v>874</v>
      </c>
      <c r="AC119" s="971">
        <f t="shared" si="110"/>
        <v>0</v>
      </c>
      <c r="AD119" s="463" t="b">
        <f t="shared" si="119"/>
        <v>0</v>
      </c>
      <c r="AE119" s="425" t="b">
        <f t="shared" si="112"/>
        <v>0</v>
      </c>
      <c r="AF119" s="968" t="str">
        <f t="shared" si="113"/>
        <v/>
      </c>
      <c r="AG119" s="478">
        <f t="shared" si="120"/>
        <v>0</v>
      </c>
      <c r="AH119" s="465">
        <v>2</v>
      </c>
      <c r="AI119" s="431">
        <f t="shared" si="115"/>
        <v>2</v>
      </c>
      <c r="AJ119" s="336">
        <f t="shared" si="116"/>
        <v>0</v>
      </c>
      <c r="AO119" s="339"/>
      <c r="AP119" s="339"/>
      <c r="AQ119" s="339"/>
      <c r="AR119" s="310"/>
      <c r="AS119" s="310"/>
      <c r="AT119" s="310"/>
      <c r="AU119" s="310"/>
      <c r="AV119" s="310"/>
      <c r="AW119" s="310"/>
      <c r="AX119" s="310"/>
    </row>
    <row r="120" spans="1:64" ht="15" customHeight="1">
      <c r="A120" s="2702"/>
      <c r="B120" s="2367"/>
      <c r="C120" s="2368"/>
      <c r="D120" s="2261" t="str">
        <f t="shared" si="117"/>
        <v>全職種</v>
      </c>
      <c r="E120" s="2262"/>
      <c r="F120" s="2268"/>
      <c r="G120" s="2278"/>
      <c r="H120" s="2278"/>
      <c r="I120" s="837" t="str">
        <f t="shared" si="104"/>
        <v/>
      </c>
      <c r="J120" s="984" t="str">
        <f t="shared" si="118"/>
        <v/>
      </c>
      <c r="K120" s="1034"/>
      <c r="L120" s="859" t="str">
        <f t="shared" si="105"/>
        <v/>
      </c>
      <c r="M120" s="576">
        <f t="shared" si="106"/>
        <v>0</v>
      </c>
      <c r="N120" s="2619"/>
      <c r="O120" s="2620"/>
      <c r="P120" s="322"/>
      <c r="Q120" s="954"/>
      <c r="R120" s="954"/>
      <c r="S120" s="954"/>
      <c r="T120" s="968" t="str">
        <f t="shared" si="135"/>
        <v>全職種</v>
      </c>
      <c r="U120" s="970">
        <f t="shared" si="108"/>
        <v>0</v>
      </c>
      <c r="V120" s="968">
        <v>2</v>
      </c>
      <c r="W120" s="968" t="b">
        <f t="shared" si="121"/>
        <v>0</v>
      </c>
      <c r="X120" s="463" t="b">
        <f t="shared" ca="1" si="122"/>
        <v>0</v>
      </c>
      <c r="Y120" s="477" t="b">
        <f>COUNTIF($AC$25:AC119,AC120)+COUNTIF(AC121:$AC$124,AC120)-COUNTIF(Z120:AB120,AC120)=0</f>
        <v>0</v>
      </c>
      <c r="Z120" s="478" t="s">
        <v>874</v>
      </c>
      <c r="AA120" s="478" t="s">
        <v>874</v>
      </c>
      <c r="AB120" s="478" t="s">
        <v>874</v>
      </c>
      <c r="AC120" s="971">
        <f t="shared" si="110"/>
        <v>0</v>
      </c>
      <c r="AD120" s="463" t="b">
        <f t="shared" si="119"/>
        <v>0</v>
      </c>
      <c r="AE120" s="425" t="b">
        <f t="shared" si="112"/>
        <v>0</v>
      </c>
      <c r="AF120" s="968" t="str">
        <f t="shared" si="113"/>
        <v/>
      </c>
      <c r="AG120" s="478">
        <f t="shared" si="120"/>
        <v>0</v>
      </c>
      <c r="AH120" s="465">
        <v>2</v>
      </c>
      <c r="AI120" s="431">
        <f t="shared" si="115"/>
        <v>2</v>
      </c>
      <c r="AJ120" s="336">
        <f t="shared" si="116"/>
        <v>0</v>
      </c>
      <c r="AO120" s="339"/>
      <c r="AP120" s="339"/>
      <c r="AQ120" s="339"/>
      <c r="AR120" s="310"/>
      <c r="AS120" s="310"/>
      <c r="AT120" s="310"/>
      <c r="AU120" s="310"/>
      <c r="AV120" s="310"/>
      <c r="AW120" s="310"/>
      <c r="AX120" s="310"/>
    </row>
    <row r="121" spans="1:64" ht="15" customHeight="1">
      <c r="A121" s="2702"/>
      <c r="B121" s="2367"/>
      <c r="C121" s="2368"/>
      <c r="D121" s="2261" t="str">
        <f t="shared" si="117"/>
        <v>全職種</v>
      </c>
      <c r="E121" s="2262"/>
      <c r="F121" s="2268"/>
      <c r="G121" s="2278"/>
      <c r="H121" s="2278"/>
      <c r="I121" s="837" t="str">
        <f t="shared" si="104"/>
        <v/>
      </c>
      <c r="J121" s="984" t="str">
        <f t="shared" si="118"/>
        <v/>
      </c>
      <c r="K121" s="1034"/>
      <c r="L121" s="859" t="str">
        <f>IF(AI121=1,"調整①→",IF(AI121=5,"調整②→",IF(AI121=2,"",IF(AI121=3,"全計上→","エラー"))))</f>
        <v/>
      </c>
      <c r="M121" s="576">
        <f t="shared" si="106"/>
        <v>0</v>
      </c>
      <c r="N121" s="2619"/>
      <c r="O121" s="2620"/>
      <c r="P121" s="322"/>
      <c r="Q121" s="954"/>
      <c r="R121" s="954"/>
      <c r="S121" s="954"/>
      <c r="T121" s="968" t="str">
        <f t="shared" si="135"/>
        <v>全職種</v>
      </c>
      <c r="U121" s="970">
        <f t="shared" si="108"/>
        <v>0</v>
      </c>
      <c r="V121" s="968">
        <v>2</v>
      </c>
      <c r="W121" s="968" t="b">
        <f t="shared" si="121"/>
        <v>0</v>
      </c>
      <c r="X121" s="463" t="b">
        <f t="shared" ca="1" si="122"/>
        <v>0</v>
      </c>
      <c r="Y121" s="477" t="b">
        <f>COUNTIF($AC$25:AC120,AC121)+COUNTIF(AC122:$AC$124,AC121)-COUNTIF(Z121:AB121,AC121)=0</f>
        <v>0</v>
      </c>
      <c r="Z121" s="478" t="s">
        <v>874</v>
      </c>
      <c r="AA121" s="478" t="s">
        <v>874</v>
      </c>
      <c r="AB121" s="478" t="s">
        <v>874</v>
      </c>
      <c r="AC121" s="971">
        <f t="shared" si="110"/>
        <v>0</v>
      </c>
      <c r="AD121" s="463" t="b">
        <f t="shared" si="119"/>
        <v>0</v>
      </c>
      <c r="AE121" s="425" t="b">
        <f t="shared" si="112"/>
        <v>0</v>
      </c>
      <c r="AF121" s="968" t="str">
        <f t="shared" si="113"/>
        <v/>
      </c>
      <c r="AG121" s="478">
        <f t="shared" si="120"/>
        <v>0</v>
      </c>
      <c r="AH121" s="465">
        <v>2</v>
      </c>
      <c r="AI121" s="431">
        <f t="shared" si="115"/>
        <v>2</v>
      </c>
      <c r="AJ121" s="336">
        <f t="shared" si="116"/>
        <v>0</v>
      </c>
      <c r="AO121" s="339"/>
      <c r="AP121" s="339"/>
      <c r="AQ121" s="339"/>
      <c r="AR121" s="338"/>
      <c r="AS121" s="339"/>
      <c r="AT121" s="339"/>
    </row>
    <row r="122" spans="1:64" ht="15" customHeight="1">
      <c r="A122" s="2702"/>
      <c r="B122" s="2393"/>
      <c r="C122" s="2394"/>
      <c r="D122" s="2320" t="str">
        <f t="shared" si="117"/>
        <v>全職種</v>
      </c>
      <c r="E122" s="2321"/>
      <c r="F122" s="2322"/>
      <c r="G122" s="2323"/>
      <c r="H122" s="2323"/>
      <c r="I122" s="835" t="str">
        <f t="shared" si="104"/>
        <v/>
      </c>
      <c r="J122" s="529" t="str">
        <f t="shared" si="118"/>
        <v/>
      </c>
      <c r="K122" s="1035"/>
      <c r="L122" s="852" t="str">
        <f>IF(AI122=1,"調整①→",IF(AI122=5,"調整②→",IF(AI122=2,"",IF(AI122=3,"全計上→","エラー"))))</f>
        <v/>
      </c>
      <c r="M122" s="532">
        <f t="shared" si="106"/>
        <v>0</v>
      </c>
      <c r="N122" s="2619"/>
      <c r="O122" s="2620"/>
      <c r="P122" s="322"/>
      <c r="Q122" s="954"/>
      <c r="R122" s="954"/>
      <c r="S122" s="954"/>
      <c r="T122" s="968" t="str">
        <f t="shared" si="135"/>
        <v>全職種</v>
      </c>
      <c r="U122" s="970">
        <f t="shared" si="108"/>
        <v>0</v>
      </c>
      <c r="V122" s="968">
        <v>2</v>
      </c>
      <c r="W122" s="968" t="b">
        <f t="shared" si="121"/>
        <v>0</v>
      </c>
      <c r="X122" s="463" t="b">
        <f t="shared" ca="1" si="122"/>
        <v>0</v>
      </c>
      <c r="Y122" s="477" t="b">
        <f>COUNTIF($AC$25:AC121,AC122)+COUNTIF(AC123:$AC$124,AC122)-COUNTIF(Z122:AB122,AC122)=0</f>
        <v>0</v>
      </c>
      <c r="Z122" s="478" t="s">
        <v>874</v>
      </c>
      <c r="AA122" s="478" t="s">
        <v>874</v>
      </c>
      <c r="AB122" s="478" t="s">
        <v>874</v>
      </c>
      <c r="AC122" s="971">
        <f t="shared" si="110"/>
        <v>0</v>
      </c>
      <c r="AD122" s="463" t="b">
        <f t="shared" si="119"/>
        <v>0</v>
      </c>
      <c r="AE122" s="425" t="b">
        <f t="shared" si="112"/>
        <v>0</v>
      </c>
      <c r="AF122" s="968" t="str">
        <f t="shared" si="113"/>
        <v/>
      </c>
      <c r="AG122" s="478">
        <f t="shared" si="120"/>
        <v>0</v>
      </c>
      <c r="AH122" s="465">
        <v>2</v>
      </c>
      <c r="AI122" s="431">
        <f t="shared" si="115"/>
        <v>2</v>
      </c>
      <c r="AJ122" s="336">
        <f t="shared" si="116"/>
        <v>0</v>
      </c>
      <c r="AO122" s="339"/>
      <c r="AP122" s="339"/>
      <c r="AQ122" s="339"/>
      <c r="AR122" s="338"/>
      <c r="AS122" s="339"/>
      <c r="AT122" s="339"/>
    </row>
    <row r="123" spans="1:64" ht="15" customHeight="1">
      <c r="A123" s="539" t="s">
        <v>809</v>
      </c>
      <c r="B123" s="2697"/>
      <c r="C123" s="2698"/>
      <c r="D123" s="2312" t="str">
        <f t="shared" ref="D123" si="138">AF123</f>
        <v>保育士</v>
      </c>
      <c r="E123" s="2313"/>
      <c r="F123" s="2379" t="str">
        <f>IF(ISTEXT(B123),【様式2】職員名簿!B28,"")</f>
        <v/>
      </c>
      <c r="G123" s="2310"/>
      <c r="H123" s="2310"/>
      <c r="I123" s="867" t="str">
        <f t="shared" si="104"/>
        <v/>
      </c>
      <c r="J123" s="982" t="str">
        <f>IF(OR(F123=0,F123=""),"",IF(W123,IF(X123,IF(OR(Y123,V123=3),IF(AD123,IF(OR(AE123,V123=2,V123=3),"○","要常勤"),"時間無"),"重複"),"名簿無"),"対象外"))</f>
        <v/>
      </c>
      <c r="K123" s="1039"/>
      <c r="L123" s="904" t="str">
        <f>IF(AI123=1,"調整①→",IF(AI123=5,"調整②→",IF(AI123=2,"",IF(AI123=3,"全計上→","エラー"))))</f>
        <v/>
      </c>
      <c r="M123" s="540">
        <f t="shared" si="106"/>
        <v>0</v>
      </c>
      <c r="N123" s="2365">
        <f>SUM(M123:M123)</f>
        <v>0</v>
      </c>
      <c r="O123" s="2366"/>
      <c r="P123" s="322"/>
      <c r="Q123" s="954"/>
      <c r="R123" s="954"/>
      <c r="S123" s="954"/>
      <c r="T123" s="465" t="s">
        <v>876</v>
      </c>
      <c r="U123" s="426">
        <f>BM7</f>
        <v>0</v>
      </c>
      <c r="V123" s="467">
        <v>3</v>
      </c>
      <c r="W123" s="467" t="b">
        <f t="shared" ref="W123" si="139">AND(ISTEXT(B123),ISTEXT(F123))</f>
        <v>0</v>
      </c>
      <c r="X123" s="468" t="b">
        <f t="shared" ca="1" si="109"/>
        <v>0</v>
      </c>
      <c r="Y123" s="479" t="b">
        <f>COUNTIF($AC$25:AC122,AC123)+COUNTIF(AC124:$AC$124,AC123)-COUNTIF(Z123:AB123,AC123)=0</f>
        <v>0</v>
      </c>
      <c r="Z123" s="466" t="s">
        <v>874</v>
      </c>
      <c r="AA123" s="466" t="s">
        <v>874</v>
      </c>
      <c r="AB123" s="466" t="s">
        <v>874</v>
      </c>
      <c r="AC123" s="424" t="str">
        <f>IF(V123=3,"-",IFERROR(INDEX($AR$8:$AR$111,MATCH($F123,AS$8:AS$111,0),1),0))</f>
        <v>-</v>
      </c>
      <c r="AD123" s="426" t="b">
        <f t="shared" si="111"/>
        <v>0</v>
      </c>
      <c r="AE123" s="469" t="s">
        <v>916</v>
      </c>
      <c r="AF123" s="465" t="str">
        <f>BK7</f>
        <v>保育士</v>
      </c>
      <c r="AG123" s="466">
        <f t="shared" si="114"/>
        <v>0</v>
      </c>
      <c r="AH123" s="465">
        <v>2</v>
      </c>
      <c r="AI123" s="431">
        <f>IF(AND($W123,$J123="○"),IF($K123="-",IF($U123&lt;IF($AH123=5,$AL$4,$AL$3),$AH123,2),IF($K123=0,IF($U123&lt;IF($AH123=5,$AL$4,$AL$3),IF(OR($AH123=1,$AH123=5),$AH123,3),3),IF(K123&lt;IF($AH123=5,$AL$4,$AL$3),$AH123,IF($K123&gt;$U123,4,2)))),2)</f>
        <v>2</v>
      </c>
      <c r="AJ123" s="336">
        <f t="shared" si="116"/>
        <v>0</v>
      </c>
      <c r="AK123" s="310"/>
      <c r="AO123" s="339"/>
      <c r="AP123" s="339"/>
      <c r="AQ123" s="339"/>
    </row>
    <row r="124" spans="1:64" ht="15" customHeight="1" thickBot="1">
      <c r="A124" s="512"/>
      <c r="B124" s="541"/>
      <c r="C124" s="948"/>
      <c r="D124" s="948"/>
      <c r="E124" s="948"/>
      <c r="F124" s="948"/>
      <c r="G124" s="948"/>
      <c r="H124" s="542"/>
      <c r="I124" s="542"/>
      <c r="J124" s="542"/>
      <c r="K124" s="948"/>
      <c r="L124" s="948"/>
      <c r="M124" s="948"/>
      <c r="N124" s="948"/>
      <c r="O124" s="948"/>
      <c r="P124" s="322"/>
      <c r="Q124" s="322"/>
      <c r="R124" s="310"/>
      <c r="S124" s="310"/>
      <c r="T124" s="310"/>
      <c r="Y124" s="339"/>
      <c r="Z124" s="339"/>
      <c r="AA124" s="339"/>
      <c r="AB124" s="339"/>
      <c r="AC124" s="480">
        <v>0</v>
      </c>
      <c r="AF124" s="339"/>
      <c r="AG124" s="339"/>
      <c r="AH124" s="339"/>
      <c r="AI124" s="339"/>
      <c r="AJ124" s="339"/>
      <c r="AK124" s="333"/>
      <c r="AO124" s="339"/>
      <c r="AP124" s="339"/>
      <c r="AQ124" s="339"/>
    </row>
    <row r="125" spans="1:64" ht="15" hidden="1" customHeight="1" outlineLevel="1" thickBot="1">
      <c r="A125" s="504" t="s">
        <v>810</v>
      </c>
      <c r="B125" s="948"/>
      <c r="C125" s="948"/>
      <c r="D125" s="948"/>
      <c r="E125" s="948"/>
      <c r="F125" s="948"/>
      <c r="G125" s="948" t="s">
        <v>811</v>
      </c>
      <c r="H125" s="512"/>
      <c r="I125" s="512"/>
      <c r="J125" s="512"/>
      <c r="K125" s="948"/>
      <c r="L125" s="512"/>
      <c r="M125" s="948"/>
      <c r="N125" s="948"/>
      <c r="O125" s="512"/>
      <c r="P125" s="322"/>
      <c r="Q125" s="322"/>
      <c r="R125" s="310"/>
      <c r="S125" s="310"/>
      <c r="T125" s="310"/>
      <c r="AK125" s="333"/>
      <c r="AO125" s="339"/>
      <c r="AP125" s="339"/>
      <c r="AQ125" s="339"/>
      <c r="AR125" s="338"/>
      <c r="AS125" s="339"/>
      <c r="AT125" s="339"/>
    </row>
    <row r="126" spans="1:64" ht="15" hidden="1" customHeight="1" outlineLevel="1">
      <c r="A126" s="2353" t="s">
        <v>148</v>
      </c>
      <c r="B126" s="2707" t="s">
        <v>812</v>
      </c>
      <c r="C126" s="2708"/>
      <c r="D126" s="2708"/>
      <c r="E126" s="2708"/>
      <c r="F126" s="2708"/>
      <c r="G126" s="2708"/>
      <c r="H126" s="2708"/>
      <c r="I126" s="503"/>
      <c r="J126" s="520"/>
      <c r="K126" s="520"/>
      <c r="L126" s="512"/>
      <c r="M126" s="948"/>
      <c r="N126" s="948"/>
      <c r="O126" s="512"/>
      <c r="P126" s="322"/>
      <c r="Q126" s="322"/>
      <c r="R126" s="310"/>
      <c r="S126" s="310"/>
      <c r="T126" s="333"/>
      <c r="AK126" s="310"/>
      <c r="AO126" s="339"/>
      <c r="AP126" s="339"/>
      <c r="AQ126" s="339"/>
      <c r="AR126" s="338"/>
      <c r="AS126" s="339"/>
      <c r="AT126" s="339"/>
    </row>
    <row r="127" spans="1:64" ht="15" hidden="1" customHeight="1" outlineLevel="1" thickBot="1">
      <c r="A127" s="2354"/>
      <c r="B127" s="2380" t="s">
        <v>813</v>
      </c>
      <c r="C127" s="2709" t="s">
        <v>814</v>
      </c>
      <c r="D127" s="2710"/>
      <c r="E127" s="2710"/>
      <c r="F127" s="2706" t="s">
        <v>817</v>
      </c>
      <c r="G127" s="2706"/>
      <c r="H127" s="2706"/>
      <c r="I127" s="2383" t="s">
        <v>815</v>
      </c>
      <c r="J127" s="543"/>
      <c r="K127" s="543"/>
      <c r="L127" s="512"/>
      <c r="M127" s="512"/>
      <c r="N127" s="512"/>
      <c r="O127" s="512"/>
      <c r="P127" s="322"/>
      <c r="Q127" s="322"/>
      <c r="R127" s="310"/>
      <c r="S127" s="310"/>
      <c r="T127" s="333"/>
      <c r="AK127" s="310"/>
      <c r="AO127" s="339"/>
      <c r="AP127" s="339"/>
      <c r="AQ127" s="339"/>
      <c r="AR127" s="338"/>
      <c r="AS127" s="339"/>
      <c r="AT127" s="339"/>
    </row>
    <row r="128" spans="1:64" ht="15" hidden="1" customHeight="1" outlineLevel="1" thickBot="1">
      <c r="A128" s="2354"/>
      <c r="B128" s="2381"/>
      <c r="C128" s="2448" t="s">
        <v>556</v>
      </c>
      <c r="D128" s="2448" t="s">
        <v>676</v>
      </c>
      <c r="E128" s="2448" t="s">
        <v>816</v>
      </c>
      <c r="F128" s="2450" t="s">
        <v>1128</v>
      </c>
      <c r="G128" s="2450"/>
      <c r="H128" s="2706" t="s">
        <v>1129</v>
      </c>
      <c r="I128" s="2383"/>
      <c r="J128" s="543"/>
      <c r="K128" s="543"/>
      <c r="L128" s="512"/>
      <c r="M128" s="512"/>
      <c r="N128" s="512"/>
      <c r="O128" s="512"/>
      <c r="P128" s="322"/>
      <c r="Q128" s="2498" t="s">
        <v>647</v>
      </c>
      <c r="R128" s="2499"/>
      <c r="S128" s="2499"/>
      <c r="T128" s="2499"/>
      <c r="U128" s="2499"/>
      <c r="V128" s="2499"/>
      <c r="W128" s="2499"/>
      <c r="X128" s="2499"/>
      <c r="Y128" s="2499"/>
      <c r="Z128" s="2499"/>
      <c r="AA128" s="2499"/>
      <c r="AB128" s="2499"/>
      <c r="AC128" s="2499"/>
      <c r="AD128" s="2499"/>
      <c r="AE128" s="2499"/>
      <c r="AF128" s="2499"/>
      <c r="AG128" s="2499"/>
      <c r="AH128" s="2499"/>
      <c r="AI128" s="2499"/>
      <c r="AJ128" s="2500"/>
      <c r="AK128" s="310"/>
      <c r="AO128" s="339"/>
      <c r="AP128" s="339"/>
      <c r="AR128" s="338"/>
      <c r="AS128" s="339"/>
      <c r="AT128" s="339"/>
    </row>
    <row r="129" spans="1:46" ht="15" hidden="1" customHeight="1" outlineLevel="1" thickBot="1">
      <c r="A129" s="2355"/>
      <c r="B129" s="2382"/>
      <c r="C129" s="2449"/>
      <c r="D129" s="2449"/>
      <c r="E129" s="2449"/>
      <c r="F129" s="342" t="s">
        <v>918</v>
      </c>
      <c r="G129" s="342" t="s">
        <v>919</v>
      </c>
      <c r="H129" s="2711"/>
      <c r="I129" s="2384"/>
      <c r="J129" s="543"/>
      <c r="K129" s="543"/>
      <c r="L129" s="512"/>
      <c r="M129" s="512"/>
      <c r="N129" s="512"/>
      <c r="O129" s="512"/>
      <c r="P129" s="322"/>
      <c r="Q129" s="435" t="s">
        <v>886</v>
      </c>
      <c r="R129" s="436"/>
      <c r="S129" s="436"/>
      <c r="T129" s="436"/>
      <c r="U129" s="437"/>
      <c r="V129" s="437"/>
      <c r="W129" s="437"/>
      <c r="X129" s="437"/>
      <c r="Y129" s="437"/>
      <c r="Z129" s="437"/>
      <c r="AA129" s="437"/>
      <c r="AB129" s="437"/>
      <c r="AC129" s="437"/>
      <c r="AD129" s="437"/>
      <c r="AE129" s="437"/>
      <c r="AF129" s="436"/>
      <c r="AG129" s="436"/>
      <c r="AH129" s="436"/>
      <c r="AI129" s="436"/>
      <c r="AJ129" s="428"/>
      <c r="AK129" s="310"/>
      <c r="AO129" s="339"/>
      <c r="AP129" s="339"/>
      <c r="AR129" s="339"/>
      <c r="AS129" s="339"/>
      <c r="AT129" s="339"/>
    </row>
    <row r="130" spans="1:46" ht="15" hidden="1" customHeight="1" outlineLevel="1" thickBot="1">
      <c r="A130" s="551" t="str">
        <f t="shared" ref="A130:A133" si="140">AQ2</f>
        <v>施設長</v>
      </c>
      <c r="B130" s="552">
        <f>【様式2】職員名簿!J11</f>
        <v>0</v>
      </c>
      <c r="C130" s="344"/>
      <c r="D130" s="344"/>
      <c r="E130" s="344"/>
      <c r="F130" s="344"/>
      <c r="G130" s="345"/>
      <c r="H130" s="345"/>
      <c r="I130" s="546">
        <f>B130-SUM($C130:$G130)</f>
        <v>0</v>
      </c>
      <c r="J130" s="544"/>
      <c r="K130" s="544"/>
      <c r="L130" s="512"/>
      <c r="M130" s="512"/>
      <c r="N130" s="512"/>
      <c r="O130" s="512"/>
      <c r="P130" s="322"/>
      <c r="Q130" s="439" t="s">
        <v>890</v>
      </c>
      <c r="R130" s="440"/>
      <c r="S130" s="440"/>
      <c r="T130" s="440"/>
      <c r="U130" s="440"/>
      <c r="V130" s="440"/>
      <c r="W130" s="440"/>
      <c r="X130" s="440"/>
      <c r="Y130" s="441"/>
      <c r="Z130" s="441"/>
      <c r="AA130" s="441"/>
      <c r="AB130" s="441"/>
      <c r="AC130" s="441"/>
      <c r="AD130" s="440"/>
      <c r="AE130" s="440"/>
      <c r="AF130" s="441"/>
      <c r="AG130" s="441"/>
      <c r="AH130" s="441"/>
      <c r="AI130" s="441"/>
      <c r="AJ130" s="442"/>
      <c r="AK130" s="310"/>
      <c r="AO130" s="339"/>
      <c r="AP130" s="339"/>
      <c r="AR130" s="339"/>
      <c r="AS130" s="339"/>
      <c r="AT130" s="339"/>
    </row>
    <row r="131" spans="1:46" ht="15" hidden="1" customHeight="1" outlineLevel="1">
      <c r="A131" s="553" t="str">
        <f t="shared" si="140"/>
        <v>保育士</v>
      </c>
      <c r="B131" s="554">
        <f>【様式2】職員名簿!J12</f>
        <v>0</v>
      </c>
      <c r="C131" s="556">
        <f>SUMIF($AF$69:$AF$73,$A131,$AG$69:$AG$73)</f>
        <v>0</v>
      </c>
      <c r="D131" s="555">
        <f>SUMIF($AF$26:$AF$68,$A131,$AG$26:$AG$68)</f>
        <v>0</v>
      </c>
      <c r="E131" s="556">
        <f>SUMIF($AF$77:$AF$123,$A131,$AG$77:$AG$123)</f>
        <v>0</v>
      </c>
      <c r="F131" s="1040"/>
      <c r="G131" s="1042"/>
      <c r="H131" s="565"/>
      <c r="I131" s="547">
        <f>SUM(B131,-1*SUM($C131:$G131))</f>
        <v>0</v>
      </c>
      <c r="J131" s="545" t="s">
        <v>920</v>
      </c>
      <c r="K131" s="544"/>
      <c r="L131" s="512"/>
      <c r="M131" s="512"/>
      <c r="N131" s="512"/>
      <c r="O131" s="512"/>
      <c r="P131" s="322"/>
      <c r="Q131" s="2517" t="s">
        <v>798</v>
      </c>
      <c r="R131" s="2518"/>
      <c r="S131" s="578"/>
      <c r="T131" s="2551" t="s">
        <v>966</v>
      </c>
      <c r="U131" s="2554"/>
      <c r="V131" s="2517" t="s">
        <v>870</v>
      </c>
      <c r="W131" s="2557"/>
      <c r="X131" s="2557"/>
      <c r="Y131" s="2557"/>
      <c r="Z131" s="2557"/>
      <c r="AA131" s="2557"/>
      <c r="AB131" s="2557"/>
      <c r="AC131" s="2557"/>
      <c r="AD131" s="2557"/>
      <c r="AE131" s="2518"/>
      <c r="AF131" s="2517" t="s">
        <v>800</v>
      </c>
      <c r="AG131" s="2518"/>
      <c r="AH131" s="2558" t="s">
        <v>893</v>
      </c>
      <c r="AI131" s="2559"/>
      <c r="AJ131" s="2560"/>
      <c r="AK131" s="310"/>
      <c r="AO131" s="339"/>
      <c r="AP131" s="339"/>
      <c r="AR131" s="339"/>
      <c r="AS131" s="339"/>
      <c r="AT131" s="339"/>
    </row>
    <row r="132" spans="1:46" ht="15" hidden="1" customHeight="1" outlineLevel="1" thickBot="1">
      <c r="A132" s="557" t="str">
        <f t="shared" si="140"/>
        <v>栄養士</v>
      </c>
      <c r="B132" s="558">
        <f>【様式2】職員名簿!J13</f>
        <v>0</v>
      </c>
      <c r="C132" s="560">
        <f>SUMIF($AF$69:$AF$73,$A132,$AG$69:$AG$73)</f>
        <v>0</v>
      </c>
      <c r="D132" s="559">
        <f>SUMIF($AF$26:$AF$68,$A132,$AG$26:$AG$68)</f>
        <v>0</v>
      </c>
      <c r="E132" s="560">
        <f>SUMIF($AF$77:$AF$123,$A132,$AG$77:$AG$123)</f>
        <v>0</v>
      </c>
      <c r="F132" s="1041"/>
      <c r="G132" s="1043"/>
      <c r="H132" s="565"/>
      <c r="I132" s="547">
        <f>SUM(B132,-1*SUM($C132:$G132))</f>
        <v>0</v>
      </c>
      <c r="J132" s="544"/>
      <c r="K132" s="544"/>
      <c r="L132" s="512"/>
      <c r="M132" s="512"/>
      <c r="N132" s="512"/>
      <c r="O132" s="512"/>
      <c r="P132" s="322"/>
      <c r="Q132" s="2519"/>
      <c r="R132" s="2507"/>
      <c r="S132" s="579"/>
      <c r="T132" s="2552"/>
      <c r="U132" s="2555"/>
      <c r="V132" s="2561" t="s">
        <v>894</v>
      </c>
      <c r="W132" s="2505" t="s">
        <v>507</v>
      </c>
      <c r="X132" s="2501" t="s">
        <v>868</v>
      </c>
      <c r="Y132" s="2503" t="s">
        <v>801</v>
      </c>
      <c r="Z132" s="2503"/>
      <c r="AA132" s="2503"/>
      <c r="AB132" s="2503"/>
      <c r="AC132" s="2504"/>
      <c r="AD132" s="2505" t="s">
        <v>417</v>
      </c>
      <c r="AE132" s="2507" t="s">
        <v>7</v>
      </c>
      <c r="AF132" s="2519"/>
      <c r="AG132" s="2507"/>
      <c r="AH132" s="2509" t="s">
        <v>895</v>
      </c>
      <c r="AI132" s="2511" t="s">
        <v>92</v>
      </c>
      <c r="AJ132" s="2513"/>
      <c r="AK132" s="310"/>
      <c r="AR132" s="333"/>
      <c r="AS132" s="333"/>
      <c r="AT132" s="333"/>
    </row>
    <row r="133" spans="1:46" ht="15" hidden="1" customHeight="1" outlineLevel="1" thickBot="1">
      <c r="A133" s="557" t="str">
        <f t="shared" si="140"/>
        <v>調理員</v>
      </c>
      <c r="B133" s="558">
        <f>【様式2】職員名簿!J14</f>
        <v>0</v>
      </c>
      <c r="C133" s="560">
        <f>SUMIF($AF$69:$AF$73,$A133,$AG$69:$AG$73)</f>
        <v>0</v>
      </c>
      <c r="D133" s="559">
        <f>SUMIF($AF$26:$AF$68,$A133,$AG$26:$AG$68)</f>
        <v>0</v>
      </c>
      <c r="E133" s="560">
        <f>SUMIF($AF$77:$AF$123,$A133,$AG$77:$AG$123)</f>
        <v>0</v>
      </c>
      <c r="F133" s="565"/>
      <c r="G133" s="1043"/>
      <c r="H133" s="565"/>
      <c r="I133" s="548">
        <f>SUM(B133,F130:F135)-SUM($C133:$G133)</f>
        <v>0</v>
      </c>
      <c r="J133" s="544"/>
      <c r="K133" s="544"/>
      <c r="L133" s="512"/>
      <c r="M133" s="512"/>
      <c r="N133" s="512"/>
      <c r="O133" s="512"/>
      <c r="P133" s="322"/>
      <c r="Q133" s="444" t="s">
        <v>203</v>
      </c>
      <c r="R133" s="973" t="s">
        <v>804</v>
      </c>
      <c r="S133" s="580"/>
      <c r="T133" s="2553"/>
      <c r="U133" s="2556"/>
      <c r="V133" s="2562"/>
      <c r="W133" s="2563"/>
      <c r="X133" s="2502"/>
      <c r="Y133" s="972" t="s">
        <v>92</v>
      </c>
      <c r="Z133" s="2515" t="s">
        <v>896</v>
      </c>
      <c r="AA133" s="2515"/>
      <c r="AB133" s="2516"/>
      <c r="AC133" s="2548" t="s">
        <v>897</v>
      </c>
      <c r="AD133" s="2506"/>
      <c r="AE133" s="2508"/>
      <c r="AF133" s="444" t="s">
        <v>99</v>
      </c>
      <c r="AG133" s="973" t="s">
        <v>805</v>
      </c>
      <c r="AH133" s="2510"/>
      <c r="AI133" s="2512"/>
      <c r="AJ133" s="2514"/>
      <c r="AK133" s="310"/>
      <c r="AR133" s="339"/>
      <c r="AS133" s="339"/>
      <c r="AT133" s="339"/>
    </row>
    <row r="134" spans="1:46" ht="15" hidden="1" customHeight="1" outlineLevel="1">
      <c r="A134" s="557" t="str">
        <f>AQ6</f>
        <v>事務員</v>
      </c>
      <c r="B134" s="558">
        <f>【様式2】職員名簿!J15</f>
        <v>0</v>
      </c>
      <c r="C134" s="560">
        <f>SUMIF($AF$69:$AF$73,$A134,$AG$69:$AG$73)</f>
        <v>0</v>
      </c>
      <c r="D134" s="559">
        <f>SUMIF($AF$26:$AF$68,$A134,$AG$26:$AG$68)</f>
        <v>0</v>
      </c>
      <c r="E134" s="560">
        <f>SUMIF($AF$77:$AF$123,$A134,$AG$77:$AG$123)</f>
        <v>0</v>
      </c>
      <c r="F134" s="1041"/>
      <c r="G134" s="566"/>
      <c r="H134" s="1057">
        <f>SUM(M38:M39,M67)</f>
        <v>0</v>
      </c>
      <c r="I134" s="548">
        <f>SUM(B134,G130:G135,H134)-SUM($C134:$G134)</f>
        <v>0</v>
      </c>
      <c r="J134" s="544"/>
      <c r="K134" s="544"/>
      <c r="L134" s="512"/>
      <c r="M134" s="512"/>
      <c r="N134" s="512"/>
      <c r="O134" s="512"/>
      <c r="P134" s="322"/>
      <c r="Q134" s="2524" t="s">
        <v>899</v>
      </c>
      <c r="R134" s="2527" t="s">
        <v>900</v>
      </c>
      <c r="S134" s="581"/>
      <c r="T134" s="2530" t="s">
        <v>901</v>
      </c>
      <c r="U134" s="2533"/>
      <c r="V134" s="446">
        <v>1</v>
      </c>
      <c r="W134" s="447" t="s">
        <v>902</v>
      </c>
      <c r="X134" s="447" t="s">
        <v>903</v>
      </c>
      <c r="Y134" s="447" t="s">
        <v>903</v>
      </c>
      <c r="Z134" s="2536" t="s">
        <v>904</v>
      </c>
      <c r="AA134" s="2537"/>
      <c r="AB134" s="2537"/>
      <c r="AC134" s="2549"/>
      <c r="AD134" s="446" t="s">
        <v>65</v>
      </c>
      <c r="AE134" s="448" t="s">
        <v>902</v>
      </c>
      <c r="AF134" s="2542" t="s">
        <v>905</v>
      </c>
      <c r="AG134" s="2543"/>
      <c r="AH134" s="449">
        <v>1</v>
      </c>
      <c r="AI134" s="2522" t="s">
        <v>1102</v>
      </c>
      <c r="AJ134" s="2523"/>
      <c r="AK134" s="310"/>
      <c r="AR134" s="339"/>
      <c r="AS134" s="339"/>
      <c r="AT134" s="339"/>
    </row>
    <row r="135" spans="1:46" ht="15" hidden="1" customHeight="1" outlineLevel="1">
      <c r="A135" s="561" t="str">
        <f>AQ7</f>
        <v>その他</v>
      </c>
      <c r="B135" s="562">
        <f>【様式2】職員名簿!J16</f>
        <v>0</v>
      </c>
      <c r="C135" s="564">
        <f>SUMIF($AF$69:$AF$73,$A135,$AG$69:$AG$73)</f>
        <v>0</v>
      </c>
      <c r="D135" s="563">
        <f>SUMIF($AF$26:$AF$68,$A135,$AG$26:$AG$68)</f>
        <v>0</v>
      </c>
      <c r="E135" s="564">
        <f>SUMIF($AF$77:$AF$123,$A135,$AG$77:$AG$123)</f>
        <v>0</v>
      </c>
      <c r="F135" s="1044"/>
      <c r="G135" s="1045"/>
      <c r="H135" s="1058"/>
      <c r="I135" s="549">
        <f>B135-SUM($C135:$G135)</f>
        <v>0</v>
      </c>
      <c r="J135" s="544"/>
      <c r="K135" s="544"/>
      <c r="L135" s="512"/>
      <c r="M135" s="512"/>
      <c r="N135" s="512"/>
      <c r="O135" s="512"/>
      <c r="P135" s="322"/>
      <c r="Q135" s="2525"/>
      <c r="R135" s="2528"/>
      <c r="S135" s="582"/>
      <c r="T135" s="2531"/>
      <c r="U135" s="2534"/>
      <c r="V135" s="450">
        <v>2</v>
      </c>
      <c r="W135" s="491" t="s">
        <v>65</v>
      </c>
      <c r="X135" s="491" t="s">
        <v>65</v>
      </c>
      <c r="Y135" s="491" t="s">
        <v>65</v>
      </c>
      <c r="Z135" s="2538"/>
      <c r="AA135" s="2539"/>
      <c r="AB135" s="2539"/>
      <c r="AC135" s="2549"/>
      <c r="AD135" s="400" t="s">
        <v>65</v>
      </c>
      <c r="AE135" s="451"/>
      <c r="AF135" s="2544"/>
      <c r="AG135" s="2545"/>
      <c r="AH135" s="452">
        <v>2</v>
      </c>
      <c r="AI135" s="2522" t="s">
        <v>906</v>
      </c>
      <c r="AJ135" s="2523"/>
      <c r="AK135" s="310"/>
      <c r="AR135" s="339"/>
      <c r="AS135" s="339"/>
      <c r="AT135" s="339"/>
    </row>
    <row r="136" spans="1:46" ht="15" customHeight="1" collapsed="1">
      <c r="A136" s="512"/>
      <c r="B136" s="512"/>
      <c r="C136" s="511"/>
      <c r="D136" s="511"/>
      <c r="E136" s="550"/>
      <c r="F136" s="544"/>
      <c r="G136" s="544"/>
      <c r="H136" s="544"/>
      <c r="I136" s="544"/>
      <c r="J136" s="544"/>
      <c r="K136" s="544"/>
      <c r="L136" s="544"/>
      <c r="M136" s="544"/>
      <c r="N136" s="948"/>
      <c r="O136" s="948"/>
      <c r="P136" s="322"/>
      <c r="Q136" s="2525"/>
      <c r="R136" s="2528"/>
      <c r="S136" s="582"/>
      <c r="T136" s="2531"/>
      <c r="U136" s="2534"/>
      <c r="V136" s="450">
        <v>3</v>
      </c>
      <c r="W136" s="491" t="s">
        <v>907</v>
      </c>
      <c r="X136" s="491" t="s">
        <v>902</v>
      </c>
      <c r="Y136" s="491"/>
      <c r="Z136" s="2538"/>
      <c r="AA136" s="2539"/>
      <c r="AB136" s="2539"/>
      <c r="AC136" s="2549"/>
      <c r="AD136" s="400" t="s">
        <v>908</v>
      </c>
      <c r="AE136" s="451"/>
      <c r="AF136" s="2544"/>
      <c r="AG136" s="2545"/>
      <c r="AH136" s="403">
        <v>3</v>
      </c>
      <c r="AI136" s="2520" t="s">
        <v>909</v>
      </c>
      <c r="AJ136" s="2521"/>
      <c r="AR136" s="339"/>
      <c r="AS136" s="339"/>
      <c r="AT136" s="339"/>
    </row>
    <row r="137" spans="1:46" ht="15" customHeight="1" thickBot="1">
      <c r="A137" s="504" t="s">
        <v>1108</v>
      </c>
      <c r="B137" s="512"/>
      <c r="C137" s="505"/>
      <c r="D137" s="505"/>
      <c r="E137" s="505"/>
      <c r="F137" s="505"/>
      <c r="G137" s="505"/>
      <c r="H137" s="505"/>
      <c r="I137" s="505"/>
      <c r="J137" s="505"/>
      <c r="K137" s="505"/>
      <c r="L137" s="505"/>
      <c r="M137" s="948"/>
      <c r="N137" s="511"/>
      <c r="O137" s="948" t="s">
        <v>811</v>
      </c>
      <c r="P137" s="322"/>
      <c r="Q137" s="2525"/>
      <c r="R137" s="2528"/>
      <c r="S137" s="582"/>
      <c r="T137" s="2531"/>
      <c r="U137" s="2534"/>
      <c r="V137" s="450"/>
      <c r="W137" s="491"/>
      <c r="X137" s="491"/>
      <c r="Y137" s="99"/>
      <c r="Z137" s="2538"/>
      <c r="AA137" s="2539"/>
      <c r="AB137" s="2539"/>
      <c r="AC137" s="2549"/>
      <c r="AD137" s="453"/>
      <c r="AE137" s="451"/>
      <c r="AF137" s="2544"/>
      <c r="AG137" s="2545"/>
      <c r="AH137" s="403">
        <v>4</v>
      </c>
      <c r="AI137" s="2520" t="s">
        <v>681</v>
      </c>
      <c r="AJ137" s="2521"/>
      <c r="AK137" s="310"/>
      <c r="AR137" s="339"/>
      <c r="AS137" s="339"/>
      <c r="AT137" s="339"/>
    </row>
    <row r="138" spans="1:46" ht="15" customHeight="1" thickBot="1">
      <c r="A138" s="2692" t="s">
        <v>99</v>
      </c>
      <c r="B138" s="2693"/>
      <c r="C138" s="2694"/>
      <c r="D138" s="2443" t="s">
        <v>818</v>
      </c>
      <c r="E138" s="2443"/>
      <c r="F138" s="2443"/>
      <c r="G138" s="2443"/>
      <c r="H138" s="2443"/>
      <c r="I138" s="2443"/>
      <c r="J138" s="2443"/>
      <c r="K138" s="2443"/>
      <c r="L138" s="2443"/>
      <c r="M138" s="2444"/>
      <c r="N138" s="2444" t="s">
        <v>819</v>
      </c>
      <c r="O138" s="2446" t="s">
        <v>820</v>
      </c>
      <c r="P138" s="346"/>
      <c r="Q138" s="2526"/>
      <c r="R138" s="2529"/>
      <c r="S138" s="583"/>
      <c r="T138" s="2532"/>
      <c r="U138" s="2535"/>
      <c r="V138" s="501" t="s">
        <v>910</v>
      </c>
      <c r="W138" s="502" t="s">
        <v>911</v>
      </c>
      <c r="X138" s="454"/>
      <c r="Y138" s="454"/>
      <c r="Z138" s="2540"/>
      <c r="AA138" s="2541"/>
      <c r="AB138" s="2541"/>
      <c r="AC138" s="2550"/>
      <c r="AD138" s="455"/>
      <c r="AE138" s="456"/>
      <c r="AF138" s="2546"/>
      <c r="AG138" s="2547"/>
      <c r="AH138" s="777">
        <v>5</v>
      </c>
      <c r="AI138" s="2564" t="s">
        <v>1003</v>
      </c>
      <c r="AJ138" s="2565"/>
      <c r="AK138" s="310"/>
      <c r="AR138" s="339"/>
      <c r="AS138" s="339"/>
      <c r="AT138" s="339"/>
    </row>
    <row r="139" spans="1:46" ht="15" customHeight="1" thickBot="1">
      <c r="A139" s="347" t="s">
        <v>148</v>
      </c>
      <c r="B139" s="2699" t="s">
        <v>802</v>
      </c>
      <c r="C139" s="2700"/>
      <c r="D139" s="2336" t="s">
        <v>821</v>
      </c>
      <c r="E139" s="2336"/>
      <c r="F139" s="2336"/>
      <c r="G139" s="2336"/>
      <c r="H139" s="2336"/>
      <c r="I139" s="2337"/>
      <c r="J139" s="2337"/>
      <c r="K139" s="2337"/>
      <c r="L139" s="348" t="s">
        <v>822</v>
      </c>
      <c r="M139" s="979"/>
      <c r="N139" s="2445"/>
      <c r="O139" s="2447"/>
      <c r="P139" s="346"/>
      <c r="Q139" s="346"/>
      <c r="AK139" s="310"/>
      <c r="AR139" s="339"/>
      <c r="AS139" s="339"/>
      <c r="AT139" s="339"/>
    </row>
    <row r="140" spans="1:46" ht="15" customHeight="1">
      <c r="A140" s="2695" t="s">
        <v>760</v>
      </c>
      <c r="B140" s="2719" t="s">
        <v>823</v>
      </c>
      <c r="C140" s="2720"/>
      <c r="D140" s="2723" t="s">
        <v>1088</v>
      </c>
      <c r="E140" s="2724"/>
      <c r="F140" s="2724"/>
      <c r="G140" s="2724"/>
      <c r="H140" s="2724"/>
      <c r="I140" s="2724"/>
      <c r="J140" s="2724"/>
      <c r="K140" s="2724"/>
      <c r="L140" s="2356">
        <f>IF(R26,M26,1)</f>
        <v>1</v>
      </c>
      <c r="M140" s="2385">
        <f>SUM(L140)</f>
        <v>1</v>
      </c>
      <c r="N140" s="2334">
        <f>I130</f>
        <v>0</v>
      </c>
      <c r="O140" s="2397">
        <f>N140-M140</f>
        <v>-1</v>
      </c>
      <c r="P140" s="349"/>
      <c r="Q140" s="346"/>
      <c r="AK140" s="310"/>
      <c r="AR140" s="339"/>
      <c r="AS140" s="339"/>
      <c r="AT140" s="339"/>
    </row>
    <row r="141" spans="1:46" ht="15" customHeight="1">
      <c r="A141" s="2696"/>
      <c r="B141" s="2721"/>
      <c r="C141" s="2722"/>
      <c r="D141" s="2725"/>
      <c r="E141" s="2726"/>
      <c r="F141" s="2726"/>
      <c r="G141" s="2726"/>
      <c r="H141" s="2726"/>
      <c r="I141" s="2726"/>
      <c r="J141" s="2726"/>
      <c r="K141" s="2726"/>
      <c r="L141" s="2357"/>
      <c r="M141" s="2386"/>
      <c r="N141" s="2335"/>
      <c r="O141" s="2398"/>
      <c r="P141" s="349"/>
      <c r="Q141" s="349"/>
      <c r="AK141" s="310"/>
      <c r="AR141" s="339"/>
      <c r="AS141" s="339"/>
      <c r="AT141" s="339"/>
    </row>
    <row r="142" spans="1:46" ht="15" customHeight="1">
      <c r="A142" s="2344" t="s">
        <v>923</v>
      </c>
      <c r="B142" s="2347" t="s">
        <v>97</v>
      </c>
      <c r="C142" s="2348"/>
      <c r="D142" s="2387" t="str">
        <f>"３歳児配置改善加算："&amp;N42</f>
        <v>３歳児配置改善加算：×</v>
      </c>
      <c r="E142" s="2388"/>
      <c r="F142" s="784" t="s">
        <v>1005</v>
      </c>
      <c r="G142" s="784" t="s">
        <v>1006</v>
      </c>
      <c r="H142" s="784" t="s">
        <v>1004</v>
      </c>
      <c r="I142" s="784" t="s">
        <v>1007</v>
      </c>
      <c r="J142" s="784" t="s">
        <v>1008</v>
      </c>
      <c r="K142" s="784" t="s">
        <v>1004</v>
      </c>
      <c r="L142" s="2338">
        <f>SUM(ROUND(SUM(I143:I148),0),ROUND(SUM(J143:J148),0))</f>
        <v>0</v>
      </c>
      <c r="M142" s="2712">
        <f>SUM(L142:L154)</f>
        <v>0</v>
      </c>
      <c r="N142" s="2358">
        <f>I131</f>
        <v>0</v>
      </c>
      <c r="O142" s="2396">
        <f>N142-M142</f>
        <v>0</v>
      </c>
      <c r="P142" s="349"/>
      <c r="Q142" s="349"/>
      <c r="AK142" s="310"/>
      <c r="AR142" s="339"/>
      <c r="AS142" s="339"/>
      <c r="AT142" s="339"/>
    </row>
    <row r="143" spans="1:46" ht="15" customHeight="1">
      <c r="A143" s="2345"/>
      <c r="B143" s="2349"/>
      <c r="C143" s="2350"/>
      <c r="D143" s="2389"/>
      <c r="E143" s="2390"/>
      <c r="F143" s="779" t="s">
        <v>933</v>
      </c>
      <c r="G143" s="787">
        <v>3</v>
      </c>
      <c r="H143" s="2703" t="s">
        <v>824</v>
      </c>
      <c r="I143" s="782">
        <f>ROUNDDOWN($L$12/$G143,1)</f>
        <v>0</v>
      </c>
      <c r="J143" s="785">
        <f>ROUNDDOWN($L$19/$G143,1)</f>
        <v>0</v>
      </c>
      <c r="K143" s="2703" t="s">
        <v>825</v>
      </c>
      <c r="L143" s="2339"/>
      <c r="M143" s="2713"/>
      <c r="N143" s="2395"/>
      <c r="O143" s="2397"/>
      <c r="P143" s="350"/>
      <c r="Q143" s="349"/>
      <c r="AK143" s="310"/>
      <c r="AR143" s="339"/>
      <c r="AS143" s="339"/>
      <c r="AT143" s="339"/>
    </row>
    <row r="144" spans="1:46" ht="15" customHeight="1">
      <c r="A144" s="2345"/>
      <c r="B144" s="2349"/>
      <c r="C144" s="2350"/>
      <c r="D144" s="2389"/>
      <c r="E144" s="2390"/>
      <c r="F144" s="779" t="s">
        <v>934</v>
      </c>
      <c r="G144" s="2640">
        <v>6</v>
      </c>
      <c r="H144" s="2704"/>
      <c r="I144" s="2728">
        <f>ROUNDDOWN(SUM($J$12:$K$12)/$G144,1)</f>
        <v>0</v>
      </c>
      <c r="J144" s="2341">
        <f>ROUNDDOWN(SUM($J$19:$K$19)/$G144,1)</f>
        <v>0</v>
      </c>
      <c r="K144" s="2704"/>
      <c r="L144" s="2339"/>
      <c r="M144" s="2713"/>
      <c r="N144" s="2395"/>
      <c r="O144" s="2397"/>
      <c r="P144" s="350"/>
      <c r="Q144" s="350"/>
      <c r="AK144" s="310"/>
      <c r="AR144" s="338"/>
      <c r="AS144" s="339"/>
      <c r="AT144" s="339"/>
    </row>
    <row r="145" spans="1:46" ht="15" customHeight="1">
      <c r="A145" s="2345"/>
      <c r="B145" s="2349"/>
      <c r="C145" s="2350"/>
      <c r="D145" s="2389"/>
      <c r="E145" s="2390"/>
      <c r="F145" s="780" t="s">
        <v>935</v>
      </c>
      <c r="G145" s="2641"/>
      <c r="H145" s="2704"/>
      <c r="I145" s="2729"/>
      <c r="J145" s="2342"/>
      <c r="K145" s="2704"/>
      <c r="L145" s="2339"/>
      <c r="M145" s="2713"/>
      <c r="N145" s="2395"/>
      <c r="O145" s="2397"/>
      <c r="P145" s="350"/>
      <c r="Q145" s="350"/>
      <c r="AK145" s="310"/>
      <c r="AR145" s="338"/>
      <c r="AS145" s="339"/>
      <c r="AT145" s="339"/>
    </row>
    <row r="146" spans="1:46" ht="15" customHeight="1">
      <c r="A146" s="2345"/>
      <c r="B146" s="2349"/>
      <c r="C146" s="2350"/>
      <c r="D146" s="2389"/>
      <c r="E146" s="2390"/>
      <c r="F146" s="781" t="s">
        <v>936</v>
      </c>
      <c r="G146" s="787">
        <f>IF(Q42,15,20)</f>
        <v>20</v>
      </c>
      <c r="H146" s="2704"/>
      <c r="I146" s="567">
        <f>ROUNDDOWN($H$12/$G146,1)</f>
        <v>0</v>
      </c>
      <c r="J146" s="786" t="s">
        <v>1009</v>
      </c>
      <c r="K146" s="2704"/>
      <c r="L146" s="2339"/>
      <c r="M146" s="2713"/>
      <c r="N146" s="2395"/>
      <c r="O146" s="2397"/>
      <c r="P146" s="350"/>
      <c r="Q146" s="350"/>
      <c r="AK146" s="310"/>
      <c r="AR146" s="338"/>
      <c r="AS146" s="339"/>
      <c r="AT146" s="339"/>
    </row>
    <row r="147" spans="1:46" ht="15" customHeight="1">
      <c r="A147" s="2345"/>
      <c r="B147" s="2349"/>
      <c r="C147" s="2350"/>
      <c r="D147" s="2389"/>
      <c r="E147" s="2390"/>
      <c r="F147" s="779" t="s">
        <v>921</v>
      </c>
      <c r="G147" s="2640">
        <v>30</v>
      </c>
      <c r="H147" s="2704"/>
      <c r="I147" s="2728">
        <f>ROUNDDOWN(SUM($F$12:$G$12)/$G147,1)</f>
        <v>0</v>
      </c>
      <c r="J147" s="2341" t="s">
        <v>1010</v>
      </c>
      <c r="K147" s="2704"/>
      <c r="L147" s="2339"/>
      <c r="M147" s="2713"/>
      <c r="N147" s="2395"/>
      <c r="O147" s="2397"/>
      <c r="P147" s="350"/>
      <c r="Q147" s="350"/>
      <c r="AK147" s="310"/>
    </row>
    <row r="148" spans="1:46" ht="15" customHeight="1">
      <c r="A148" s="2345"/>
      <c r="B148" s="2351"/>
      <c r="C148" s="2352"/>
      <c r="D148" s="2391"/>
      <c r="E148" s="2392"/>
      <c r="F148" s="783" t="s">
        <v>922</v>
      </c>
      <c r="G148" s="2727"/>
      <c r="H148" s="2705"/>
      <c r="I148" s="2730"/>
      <c r="J148" s="2343"/>
      <c r="K148" s="2705"/>
      <c r="L148" s="2340"/>
      <c r="M148" s="2713"/>
      <c r="N148" s="2395"/>
      <c r="O148" s="2397"/>
      <c r="P148" s="350"/>
      <c r="Q148" s="350"/>
      <c r="AK148" s="310"/>
    </row>
    <row r="149" spans="1:46" ht="15" customHeight="1">
      <c r="A149" s="2345"/>
      <c r="B149" s="2647" t="s">
        <v>806</v>
      </c>
      <c r="C149" s="568" t="s">
        <v>937</v>
      </c>
      <c r="D149" s="2645" t="s">
        <v>951</v>
      </c>
      <c r="E149" s="2646"/>
      <c r="F149" s="2646"/>
      <c r="G149" s="2646"/>
      <c r="H149" s="2646"/>
      <c r="I149" s="2646"/>
      <c r="J149" s="2646"/>
      <c r="K149" s="2646"/>
      <c r="L149" s="749">
        <f>R27</f>
        <v>0</v>
      </c>
      <c r="M149" s="2715" t="s">
        <v>1255</v>
      </c>
      <c r="N149" s="2395"/>
      <c r="O149" s="2397"/>
      <c r="P149" s="350"/>
      <c r="Q149" s="350"/>
      <c r="AK149" s="310"/>
    </row>
    <row r="150" spans="1:46" ht="15" customHeight="1">
      <c r="A150" s="2345"/>
      <c r="B150" s="2648"/>
      <c r="C150" s="569" t="s">
        <v>938</v>
      </c>
      <c r="D150" s="2650" t="s">
        <v>950</v>
      </c>
      <c r="E150" s="2651"/>
      <c r="F150" s="2651"/>
      <c r="G150" s="2651"/>
      <c r="H150" s="2651"/>
      <c r="I150" s="2651"/>
      <c r="J150" s="2651"/>
      <c r="K150" s="2651"/>
      <c r="L150" s="750">
        <f>R28</f>
        <v>0</v>
      </c>
      <c r="M150" s="2716"/>
      <c r="N150" s="2395"/>
      <c r="O150" s="2397"/>
      <c r="P150" s="350"/>
      <c r="Q150" s="350"/>
    </row>
    <row r="151" spans="1:46" ht="15" customHeight="1">
      <c r="A151" s="2345"/>
      <c r="B151" s="2649"/>
      <c r="C151" s="570" t="s">
        <v>939</v>
      </c>
      <c r="D151" s="2652" t="str">
        <f>"非常勤保育士１人（分園がある場合は各１人、下限："&amp;IF(AL2,AL3&amp;"時間","なし")&amp;"）"</f>
        <v>非常勤保育士１人（分園がある場合は各１人、下限：なし）</v>
      </c>
      <c r="E151" s="2653"/>
      <c r="F151" s="2653"/>
      <c r="G151" s="2653"/>
      <c r="H151" s="2653"/>
      <c r="I151" s="2653"/>
      <c r="J151" s="2653"/>
      <c r="K151" s="2653"/>
      <c r="L151" s="751">
        <f>SUM(M29:M30)</f>
        <v>0</v>
      </c>
      <c r="M151" s="2716"/>
      <c r="N151" s="2395"/>
      <c r="O151" s="2397"/>
      <c r="P151" s="350"/>
      <c r="Q151" s="350"/>
      <c r="R151" s="351"/>
      <c r="S151" s="351"/>
      <c r="T151" s="351"/>
      <c r="U151" s="351"/>
      <c r="V151" s="351"/>
      <c r="W151" s="351"/>
      <c r="X151" s="351"/>
      <c r="Y151" s="351"/>
      <c r="Z151" s="351"/>
      <c r="AA151" s="351"/>
      <c r="AB151" s="351"/>
      <c r="AC151" s="351"/>
      <c r="AD151" s="351"/>
      <c r="AE151" s="351"/>
      <c r="AF151" s="351"/>
      <c r="AG151" s="351"/>
      <c r="AH151" s="351"/>
      <c r="AI151" s="351"/>
      <c r="AJ151" s="351"/>
    </row>
    <row r="152" spans="1:46" ht="15" customHeight="1">
      <c r="A152" s="2345"/>
      <c r="B152" s="2717" t="s">
        <v>126</v>
      </c>
      <c r="C152" s="2718"/>
      <c r="D152" s="2373" t="s">
        <v>1000</v>
      </c>
      <c r="E152" s="2374"/>
      <c r="F152" s="2374"/>
      <c r="G152" s="2374"/>
      <c r="H152" s="2374"/>
      <c r="I152" s="2374"/>
      <c r="J152" s="2374"/>
      <c r="K152" s="2375"/>
      <c r="L152" s="752">
        <f>SUM(M43:M52)</f>
        <v>0</v>
      </c>
      <c r="M152" s="2716"/>
      <c r="N152" s="2395"/>
      <c r="O152" s="2397"/>
      <c r="P152" s="350"/>
      <c r="Q152" s="350"/>
      <c r="R152" s="351"/>
      <c r="S152" s="351"/>
      <c r="T152" s="351"/>
      <c r="U152" s="351"/>
      <c r="V152" s="351"/>
      <c r="W152" s="351"/>
      <c r="X152" s="351"/>
      <c r="Y152" s="351"/>
      <c r="Z152" s="351"/>
      <c r="AA152" s="351"/>
      <c r="AB152" s="351"/>
      <c r="AC152" s="351"/>
      <c r="AD152" s="351"/>
      <c r="AE152" s="351"/>
      <c r="AF152" s="351"/>
      <c r="AG152" s="351"/>
      <c r="AH152" s="351"/>
      <c r="AI152" s="351"/>
      <c r="AJ152" s="351"/>
    </row>
    <row r="153" spans="1:46" ht="15" customHeight="1">
      <c r="A153" s="2345"/>
      <c r="B153" s="2632" t="s">
        <v>150</v>
      </c>
      <c r="C153" s="2633"/>
      <c r="D153" s="2376" t="s">
        <v>1000</v>
      </c>
      <c r="E153" s="2377"/>
      <c r="F153" s="2377"/>
      <c r="G153" s="2377"/>
      <c r="H153" s="2377"/>
      <c r="I153" s="2377"/>
      <c r="J153" s="2377"/>
      <c r="K153" s="2378"/>
      <c r="L153" s="753">
        <f>SUM(M57:M61)</f>
        <v>0</v>
      </c>
      <c r="M153" s="2713">
        <f>SUM(L142:L152,L154)</f>
        <v>0</v>
      </c>
      <c r="N153" s="2395"/>
      <c r="O153" s="2397"/>
      <c r="P153" s="350"/>
      <c r="Q153" s="350"/>
      <c r="R153" s="351"/>
      <c r="S153" s="351"/>
      <c r="T153" s="351"/>
      <c r="U153" s="351"/>
      <c r="V153" s="351"/>
      <c r="W153" s="351"/>
      <c r="X153" s="351"/>
      <c r="Y153" s="351"/>
      <c r="Z153" s="351"/>
      <c r="AA153" s="351"/>
      <c r="AB153" s="351"/>
      <c r="AC153" s="351"/>
      <c r="AD153" s="351"/>
      <c r="AE153" s="351"/>
      <c r="AF153" s="351"/>
      <c r="AG153" s="351"/>
      <c r="AH153" s="351"/>
      <c r="AI153" s="351"/>
      <c r="AJ153" s="351"/>
    </row>
    <row r="154" spans="1:46" ht="15" customHeight="1">
      <c r="A154" s="2346"/>
      <c r="B154" s="2460" t="s">
        <v>957</v>
      </c>
      <c r="C154" s="2461"/>
      <c r="D154" s="2731" t="s">
        <v>949</v>
      </c>
      <c r="E154" s="2732"/>
      <c r="F154" s="2732"/>
      <c r="G154" s="2732"/>
      <c r="H154" s="2732"/>
      <c r="I154" s="2732"/>
      <c r="J154" s="2732"/>
      <c r="K154" s="2732"/>
      <c r="L154" s="754">
        <f>IF(Q62,1,0)</f>
        <v>0</v>
      </c>
      <c r="M154" s="2714"/>
      <c r="N154" s="2359"/>
      <c r="O154" s="2398"/>
      <c r="P154" s="350"/>
      <c r="Q154" s="350"/>
      <c r="R154" s="351"/>
      <c r="S154" s="351"/>
      <c r="T154" s="351"/>
      <c r="U154" s="351"/>
      <c r="V154" s="351"/>
      <c r="W154" s="351"/>
      <c r="X154" s="351"/>
      <c r="Y154" s="351"/>
      <c r="Z154" s="351"/>
      <c r="AA154" s="351"/>
      <c r="AB154" s="351"/>
      <c r="AC154" s="351"/>
      <c r="AD154" s="351"/>
      <c r="AE154" s="351"/>
      <c r="AF154" s="351"/>
      <c r="AG154" s="351"/>
      <c r="AH154" s="351"/>
      <c r="AI154" s="351"/>
      <c r="AJ154" s="351"/>
    </row>
    <row r="155" spans="1:46" ht="15" customHeight="1">
      <c r="A155" s="950" t="s">
        <v>5</v>
      </c>
      <c r="B155" s="2425" t="s">
        <v>826</v>
      </c>
      <c r="C155" s="2426"/>
      <c r="D155" s="1550" t="str">
        <f>IF(R64=1,"栄養管理加算（配置）の場合は専任栄養士",IF(OR(R64=2,R64=3),"栄養管理加算（兼務又は嘱託）の場合は専任栄養士の配置不要",""))</f>
        <v/>
      </c>
      <c r="E155" s="1550"/>
      <c r="F155" s="1550"/>
      <c r="G155" s="1550"/>
      <c r="H155" s="1550"/>
      <c r="I155" s="2424"/>
      <c r="J155" s="2424"/>
      <c r="K155" s="2424"/>
      <c r="L155" s="755">
        <f>IF(AND(Q64,R64=1),M64,0)</f>
        <v>0</v>
      </c>
      <c r="M155" s="2369">
        <f>SUM(L155:L156)</f>
        <v>0</v>
      </c>
      <c r="N155" s="2358">
        <f>SUM(I132:I133)</f>
        <v>0</v>
      </c>
      <c r="O155" s="2371">
        <f>N155-M155</f>
        <v>0</v>
      </c>
      <c r="P155" s="352"/>
      <c r="Q155" s="352"/>
      <c r="R155" s="351"/>
      <c r="S155" s="351"/>
      <c r="T155" s="351"/>
      <c r="U155" s="351"/>
      <c r="V155" s="351"/>
      <c r="W155" s="351"/>
      <c r="X155" s="351"/>
      <c r="Y155" s="351"/>
      <c r="Z155" s="351"/>
      <c r="AA155" s="351"/>
      <c r="AB155" s="351"/>
      <c r="AC155" s="351"/>
      <c r="AD155" s="351"/>
      <c r="AE155" s="351"/>
      <c r="AF155" s="351"/>
      <c r="AG155" s="351"/>
      <c r="AH155" s="351"/>
      <c r="AI155" s="351"/>
      <c r="AJ155" s="351"/>
    </row>
    <row r="156" spans="1:46" ht="15" customHeight="1">
      <c r="A156" s="951" t="s">
        <v>145</v>
      </c>
      <c r="B156" s="2422" t="s">
        <v>806</v>
      </c>
      <c r="C156" s="2423"/>
      <c r="D156" s="2427" t="str">
        <f>F31&amp;IF(R31=1,"（下限："&amp;IF(AL2,AL3&amp;"時間","なし")&amp;"）",)</f>
        <v>エラー：個票0を見直すこと</v>
      </c>
      <c r="E156" s="2427"/>
      <c r="F156" s="2427"/>
      <c r="G156" s="2427"/>
      <c r="H156" s="2427"/>
      <c r="I156" s="2428"/>
      <c r="J156" s="2428"/>
      <c r="K156" s="2428"/>
      <c r="L156" s="755">
        <f>IF(R31=1,IF(B12&lt;=40,1,2+M33)+IF(B19&gt;0,IF(【様式１】総括表・個票!AI63,0,IF(B19&lt;=40,1,2)),0),0)</f>
        <v>0</v>
      </c>
      <c r="M156" s="2370"/>
      <c r="N156" s="2359"/>
      <c r="O156" s="2372"/>
      <c r="P156" s="352"/>
      <c r="Q156" s="352"/>
      <c r="R156" s="351"/>
      <c r="S156" s="351"/>
      <c r="T156" s="351"/>
      <c r="U156" s="351"/>
      <c r="V156" s="351"/>
      <c r="W156" s="351"/>
      <c r="X156" s="351"/>
      <c r="Y156" s="351"/>
      <c r="Z156" s="351"/>
      <c r="AA156" s="351"/>
      <c r="AB156" s="351"/>
      <c r="AC156" s="351"/>
      <c r="AD156" s="351"/>
      <c r="AE156" s="351"/>
      <c r="AF156" s="351"/>
      <c r="AG156" s="351"/>
      <c r="AH156" s="351"/>
      <c r="AI156" s="351"/>
      <c r="AJ156" s="351"/>
      <c r="AR156" s="338"/>
      <c r="AS156" s="339"/>
      <c r="AT156" s="339"/>
    </row>
    <row r="157" spans="1:46" ht="15" customHeight="1">
      <c r="A157" s="1500" t="s">
        <v>761</v>
      </c>
      <c r="B157" s="2363" t="s">
        <v>827</v>
      </c>
      <c r="C157" s="2364"/>
      <c r="D157" s="2663" t="str">
        <f>F35&amp;IF(OR(R35=1,R35=2),"（下限："&amp;IF(AL2,AL3&amp;"時間","なし")&amp;"）","")</f>
        <v>エラー：個票0を見直すこと</v>
      </c>
      <c r="E157" s="2664"/>
      <c r="F157" s="2664"/>
      <c r="G157" s="2664"/>
      <c r="H157" s="2664"/>
      <c r="I157" s="2664"/>
      <c r="J157" s="2664"/>
      <c r="K157" s="2665"/>
      <c r="L157" s="756">
        <f>IF(R35=1,SUM(M36:M37),IF(R35=2,SUM(M38:M39),0))</f>
        <v>0</v>
      </c>
      <c r="M157" s="2358">
        <f>SUM(L157:L158)</f>
        <v>0</v>
      </c>
      <c r="N157" s="2358">
        <f>I134</f>
        <v>0</v>
      </c>
      <c r="O157" s="2371">
        <f>N157-M157</f>
        <v>0</v>
      </c>
      <c r="P157" s="352"/>
      <c r="Q157" s="352"/>
      <c r="R157" s="351"/>
      <c r="S157" s="351"/>
      <c r="T157" s="351"/>
      <c r="U157" s="351"/>
      <c r="V157" s="351"/>
      <c r="W157" s="351"/>
      <c r="X157" s="351"/>
      <c r="Y157" s="351"/>
      <c r="Z157" s="351"/>
      <c r="AA157" s="351"/>
      <c r="AB157" s="351"/>
      <c r="AC157" s="351"/>
      <c r="AD157" s="351"/>
      <c r="AE157" s="351"/>
      <c r="AF157" s="351"/>
      <c r="AG157" s="351"/>
      <c r="AH157" s="351"/>
      <c r="AI157" s="351"/>
      <c r="AJ157" s="351"/>
      <c r="AR157" s="338"/>
      <c r="AS157" s="339"/>
      <c r="AT157" s="339"/>
    </row>
    <row r="158" spans="1:46" ht="15" customHeight="1">
      <c r="A158" s="1699"/>
      <c r="B158" s="2662" t="s">
        <v>1140</v>
      </c>
      <c r="C158" s="2311"/>
      <c r="D158" s="2360" t="str">
        <f>F65</f>
        <v/>
      </c>
      <c r="E158" s="2361"/>
      <c r="F158" s="2361"/>
      <c r="G158" s="2361"/>
      <c r="H158" s="2361"/>
      <c r="I158" s="2361"/>
      <c r="J158" s="2361"/>
      <c r="K158" s="2362"/>
      <c r="L158" s="757" t="s">
        <v>1141</v>
      </c>
      <c r="M158" s="2359"/>
      <c r="N158" s="2359"/>
      <c r="O158" s="2372"/>
      <c r="P158" s="352"/>
      <c r="Q158" s="352"/>
      <c r="R158" s="353"/>
      <c r="S158" s="353"/>
      <c r="T158" s="353"/>
      <c r="U158" s="353"/>
      <c r="V158" s="353"/>
      <c r="W158" s="353"/>
      <c r="X158" s="353"/>
      <c r="Y158" s="353"/>
      <c r="Z158" s="353"/>
      <c r="AA158" s="353"/>
      <c r="AB158" s="353"/>
      <c r="AC158" s="353"/>
      <c r="AD158" s="353"/>
      <c r="AE158" s="353"/>
      <c r="AF158" s="353"/>
      <c r="AG158" s="353"/>
      <c r="AH158" s="353"/>
      <c r="AI158" s="353"/>
      <c r="AJ158" s="353"/>
      <c r="AR158" s="338"/>
      <c r="AS158" s="339"/>
      <c r="AT158" s="339"/>
    </row>
    <row r="159" spans="1:46" ht="15" customHeight="1">
      <c r="A159" s="950" t="s">
        <v>6</v>
      </c>
      <c r="B159" s="2422" t="s">
        <v>6</v>
      </c>
      <c r="C159" s="2423"/>
      <c r="D159" s="2424" t="s">
        <v>6</v>
      </c>
      <c r="E159" s="1807"/>
      <c r="F159" s="1807"/>
      <c r="G159" s="1807"/>
      <c r="H159" s="1807"/>
      <c r="I159" s="1807"/>
      <c r="J159" s="1807"/>
      <c r="K159" s="1807"/>
      <c r="L159" s="758" t="s">
        <v>916</v>
      </c>
      <c r="M159" s="572" t="s">
        <v>916</v>
      </c>
      <c r="N159" s="573">
        <f>I135</f>
        <v>0</v>
      </c>
      <c r="O159" s="571">
        <f>N159</f>
        <v>0</v>
      </c>
      <c r="Q159" s="352"/>
      <c r="R159" s="353"/>
      <c r="S159" s="353"/>
      <c r="T159" s="353"/>
      <c r="U159" s="353"/>
      <c r="V159" s="353"/>
      <c r="W159" s="353"/>
      <c r="X159" s="353"/>
      <c r="Y159" s="353"/>
      <c r="Z159" s="353"/>
      <c r="AA159" s="353"/>
      <c r="AB159" s="353"/>
      <c r="AC159" s="353"/>
      <c r="AD159" s="353"/>
      <c r="AE159" s="353"/>
      <c r="AF159" s="353"/>
      <c r="AG159" s="353"/>
      <c r="AH159" s="353"/>
      <c r="AI159" s="353"/>
      <c r="AJ159" s="353"/>
      <c r="AR159" s="338"/>
      <c r="AS159" s="339"/>
      <c r="AT159" s="339"/>
    </row>
    <row r="160" spans="1:46">
      <c r="B160" s="401"/>
      <c r="C160" s="412"/>
      <c r="D160" s="404"/>
      <c r="E160" s="404"/>
      <c r="F160" s="404"/>
      <c r="G160" s="404"/>
      <c r="H160" s="404"/>
      <c r="I160" s="404"/>
      <c r="J160" s="404"/>
      <c r="K160" s="404"/>
      <c r="L160" s="356"/>
      <c r="M160" s="357"/>
      <c r="N160" s="357"/>
      <c r="O160" s="358"/>
      <c r="Q160" s="352"/>
      <c r="R160" s="353"/>
      <c r="S160" s="353"/>
      <c r="T160" s="353"/>
      <c r="U160" s="353"/>
      <c r="V160" s="353"/>
      <c r="W160" s="353"/>
      <c r="X160" s="353"/>
      <c r="Y160" s="353"/>
      <c r="Z160" s="353"/>
      <c r="AA160" s="353"/>
      <c r="AB160" s="353"/>
      <c r="AC160" s="353"/>
      <c r="AD160" s="353"/>
      <c r="AE160" s="353"/>
      <c r="AF160" s="353"/>
      <c r="AG160" s="353"/>
      <c r="AH160" s="353"/>
      <c r="AI160" s="353"/>
      <c r="AJ160" s="353"/>
      <c r="AR160" s="338"/>
      <c r="AS160" s="339"/>
      <c r="AT160" s="339"/>
    </row>
    <row r="161" spans="1:44">
      <c r="A161" s="253"/>
      <c r="B161" s="484"/>
      <c r="C161" s="253"/>
      <c r="D161" s="253"/>
      <c r="E161" s="253"/>
      <c r="F161" s="253"/>
      <c r="G161" s="253"/>
      <c r="H161" s="253"/>
      <c r="I161" s="253"/>
      <c r="J161" s="253"/>
      <c r="K161" s="253"/>
      <c r="L161" s="253"/>
      <c r="M161" s="253"/>
      <c r="N161" s="253"/>
      <c r="O161" s="253"/>
      <c r="P161" s="339"/>
      <c r="Q161" s="354"/>
      <c r="R161" s="354"/>
      <c r="S161" s="354"/>
      <c r="T161" s="354"/>
      <c r="U161" s="354"/>
      <c r="V161" s="354"/>
      <c r="W161" s="354"/>
      <c r="X161" s="354"/>
      <c r="Y161" s="349"/>
      <c r="Z161" s="349"/>
      <c r="AA161" s="349"/>
      <c r="AB161" s="349"/>
      <c r="AC161" s="354"/>
      <c r="AD161" s="354"/>
      <c r="AE161" s="354"/>
      <c r="AF161" s="349"/>
      <c r="AG161" s="349"/>
      <c r="AH161" s="349"/>
      <c r="AI161" s="349"/>
      <c r="AJ161" s="349"/>
      <c r="AR161" s="310"/>
    </row>
    <row r="162" spans="1:44">
      <c r="A162" s="253"/>
      <c r="B162" s="253"/>
      <c r="C162" s="253"/>
      <c r="D162" s="253"/>
      <c r="E162" s="253"/>
      <c r="F162" s="253"/>
      <c r="G162" s="253"/>
      <c r="H162" s="253"/>
      <c r="I162" s="253"/>
      <c r="J162" s="253"/>
      <c r="K162" s="253"/>
      <c r="L162" s="253"/>
      <c r="M162" s="253"/>
      <c r="N162" s="253"/>
      <c r="O162" s="253"/>
      <c r="P162" s="339"/>
      <c r="AR162" s="310"/>
    </row>
    <row r="163" spans="1:44">
      <c r="A163" s="253"/>
      <c r="B163" s="253"/>
      <c r="C163" s="253"/>
      <c r="D163" s="253"/>
      <c r="E163" s="253"/>
      <c r="F163" s="253"/>
      <c r="G163" s="253"/>
      <c r="H163" s="253"/>
      <c r="I163" s="253"/>
      <c r="J163" s="253"/>
      <c r="K163" s="253"/>
      <c r="L163" s="253"/>
      <c r="M163" s="253"/>
      <c r="N163" s="253"/>
      <c r="O163" s="253"/>
      <c r="P163" s="339"/>
      <c r="Y163" s="310"/>
      <c r="Z163" s="310"/>
      <c r="AA163" s="310"/>
      <c r="AB163" s="310"/>
      <c r="AF163" s="310"/>
      <c r="AG163" s="310"/>
      <c r="AH163" s="310"/>
      <c r="AI163" s="310"/>
      <c r="AJ163" s="310"/>
      <c r="AR163" s="310"/>
    </row>
    <row r="164" spans="1:44">
      <c r="A164" s="253"/>
      <c r="B164" s="253"/>
      <c r="C164" s="253"/>
      <c r="D164" s="253"/>
      <c r="E164" s="253"/>
      <c r="F164" s="253"/>
      <c r="G164" s="253"/>
      <c r="H164" s="253"/>
      <c r="I164" s="253"/>
      <c r="J164" s="253"/>
      <c r="K164" s="253"/>
      <c r="L164" s="253"/>
      <c r="M164" s="253"/>
      <c r="N164" s="253"/>
      <c r="O164" s="253"/>
      <c r="P164" s="339"/>
      <c r="Q164" s="339"/>
      <c r="Y164" s="310"/>
      <c r="Z164" s="310"/>
      <c r="AA164" s="310"/>
      <c r="AB164" s="310"/>
      <c r="AF164" s="310"/>
      <c r="AG164" s="310"/>
      <c r="AH164" s="310"/>
      <c r="AI164" s="310"/>
      <c r="AJ164" s="310"/>
      <c r="AR164" s="310"/>
    </row>
    <row r="165" spans="1:44">
      <c r="A165" s="253"/>
      <c r="B165" s="253"/>
      <c r="C165" s="253"/>
      <c r="D165" s="253"/>
      <c r="E165" s="253"/>
      <c r="F165" s="253"/>
      <c r="G165" s="253"/>
      <c r="H165" s="253"/>
      <c r="I165" s="253"/>
      <c r="J165" s="253"/>
      <c r="K165" s="253"/>
      <c r="L165" s="253"/>
      <c r="M165" s="253"/>
      <c r="N165" s="253"/>
      <c r="O165" s="253"/>
      <c r="P165" s="339"/>
      <c r="Q165" s="339"/>
      <c r="Y165" s="310"/>
      <c r="Z165" s="310"/>
      <c r="AA165" s="310"/>
      <c r="AB165" s="310"/>
      <c r="AF165" s="310"/>
      <c r="AG165" s="310"/>
      <c r="AH165" s="310"/>
      <c r="AI165" s="310"/>
      <c r="AJ165" s="310"/>
      <c r="AR165" s="310"/>
    </row>
    <row r="166" spans="1:44">
      <c r="A166" s="253"/>
      <c r="B166" s="253"/>
      <c r="C166" s="253"/>
      <c r="D166" s="253"/>
      <c r="E166" s="253"/>
      <c r="F166" s="253"/>
      <c r="G166" s="253"/>
      <c r="H166" s="253"/>
      <c r="I166" s="253"/>
      <c r="J166" s="253"/>
      <c r="K166" s="253"/>
      <c r="L166" s="253"/>
      <c r="M166" s="253"/>
      <c r="N166" s="253"/>
      <c r="O166" s="253"/>
      <c r="P166" s="339"/>
      <c r="Q166" s="339"/>
      <c r="Y166" s="310"/>
      <c r="Z166" s="310"/>
      <c r="AA166" s="310"/>
      <c r="AB166" s="310"/>
      <c r="AF166" s="310"/>
      <c r="AG166" s="310"/>
      <c r="AH166" s="310"/>
      <c r="AI166" s="310"/>
      <c r="AJ166" s="310"/>
      <c r="AR166" s="310"/>
    </row>
    <row r="167" spans="1:44">
      <c r="A167" s="253"/>
      <c r="B167" s="253"/>
      <c r="C167" s="253"/>
      <c r="D167" s="253"/>
      <c r="E167" s="253"/>
      <c r="F167" s="253"/>
      <c r="G167" s="253"/>
      <c r="H167" s="253"/>
      <c r="I167" s="253"/>
      <c r="J167" s="253"/>
      <c r="K167" s="253"/>
      <c r="L167" s="253"/>
      <c r="M167" s="253"/>
      <c r="N167" s="253"/>
      <c r="O167" s="253"/>
      <c r="P167" s="339"/>
      <c r="Q167" s="339"/>
      <c r="Y167" s="310"/>
      <c r="Z167" s="310"/>
      <c r="AA167" s="310"/>
      <c r="AB167" s="310"/>
      <c r="AF167" s="310"/>
      <c r="AG167" s="310"/>
      <c r="AH167" s="310"/>
      <c r="AI167" s="310"/>
      <c r="AJ167" s="310"/>
      <c r="AR167" s="310"/>
    </row>
    <row r="168" spans="1:44">
      <c r="A168" s="253"/>
      <c r="B168" s="253"/>
      <c r="C168" s="253"/>
      <c r="D168" s="253"/>
      <c r="E168" s="253"/>
      <c r="F168" s="253"/>
      <c r="G168" s="253"/>
      <c r="H168" s="253"/>
      <c r="I168" s="253"/>
      <c r="J168" s="253"/>
      <c r="K168" s="253"/>
      <c r="L168" s="253"/>
      <c r="M168" s="253"/>
      <c r="N168" s="253"/>
      <c r="O168" s="253"/>
      <c r="P168" s="339"/>
      <c r="Q168" s="339"/>
      <c r="Y168" s="310"/>
      <c r="Z168" s="310"/>
      <c r="AA168" s="310"/>
      <c r="AB168" s="310"/>
      <c r="AF168" s="310"/>
      <c r="AG168" s="310"/>
      <c r="AH168" s="310"/>
      <c r="AI168" s="310"/>
      <c r="AJ168" s="310"/>
      <c r="AR168" s="310"/>
    </row>
    <row r="169" spans="1:44">
      <c r="A169" s="253"/>
      <c r="B169" s="253"/>
      <c r="C169" s="253"/>
      <c r="D169" s="253"/>
      <c r="E169" s="253"/>
      <c r="F169" s="253"/>
      <c r="G169" s="334"/>
      <c r="H169" s="334"/>
      <c r="I169" s="334"/>
      <c r="J169" s="334"/>
      <c r="K169" s="334"/>
      <c r="L169" s="334"/>
      <c r="M169" s="253"/>
      <c r="N169" s="253"/>
      <c r="O169" s="253"/>
      <c r="P169" s="339"/>
      <c r="Q169" s="339"/>
      <c r="AR169" s="310"/>
    </row>
    <row r="170" spans="1:44">
      <c r="A170" s="253"/>
      <c r="B170" s="253"/>
      <c r="C170" s="253"/>
      <c r="D170" s="253"/>
      <c r="E170" s="253"/>
      <c r="F170" s="253"/>
      <c r="G170" s="334"/>
      <c r="H170" s="334"/>
      <c r="I170" s="334"/>
      <c r="J170" s="334"/>
      <c r="K170" s="334"/>
      <c r="L170" s="334"/>
      <c r="M170" s="253"/>
      <c r="N170" s="253"/>
      <c r="O170" s="253"/>
      <c r="P170" s="339"/>
      <c r="Q170" s="339"/>
      <c r="AR170" s="310"/>
    </row>
    <row r="171" spans="1:44">
      <c r="A171" s="253"/>
      <c r="B171" s="253"/>
      <c r="C171" s="253"/>
      <c r="D171" s="253"/>
      <c r="E171" s="253"/>
      <c r="F171" s="253"/>
      <c r="G171" s="334"/>
      <c r="H171" s="334"/>
      <c r="I171" s="334"/>
      <c r="J171" s="334"/>
      <c r="K171" s="334"/>
      <c r="L171" s="334"/>
      <c r="M171" s="253"/>
      <c r="N171" s="253"/>
      <c r="O171" s="253"/>
      <c r="P171" s="339"/>
      <c r="Q171" s="339"/>
      <c r="AR171" s="310"/>
    </row>
    <row r="172" spans="1:44">
      <c r="A172" s="253"/>
      <c r="B172" s="253"/>
      <c r="C172" s="253"/>
      <c r="D172" s="253"/>
      <c r="E172" s="253"/>
      <c r="F172" s="253"/>
      <c r="G172" s="334"/>
      <c r="H172" s="334"/>
      <c r="I172" s="334"/>
      <c r="J172" s="334"/>
      <c r="K172" s="334"/>
      <c r="L172" s="334"/>
      <c r="M172" s="253"/>
      <c r="N172" s="253"/>
      <c r="O172" s="253"/>
      <c r="P172" s="339"/>
      <c r="Q172" s="339"/>
      <c r="AR172" s="310"/>
    </row>
    <row r="173" spans="1:44">
      <c r="A173" s="253"/>
      <c r="B173" s="338"/>
      <c r="C173" s="338"/>
      <c r="D173" s="338"/>
      <c r="E173" s="338"/>
      <c r="F173" s="338"/>
      <c r="G173" s="334"/>
      <c r="H173" s="334"/>
      <c r="I173" s="334"/>
      <c r="J173" s="334"/>
      <c r="K173" s="334"/>
      <c r="L173" s="334"/>
      <c r="M173" s="338"/>
      <c r="N173" s="338"/>
      <c r="O173" s="338"/>
      <c r="P173" s="339"/>
      <c r="Q173" s="339"/>
      <c r="AR173" s="310"/>
    </row>
    <row r="174" spans="1:44">
      <c r="B174" s="360"/>
      <c r="C174" s="360"/>
      <c r="D174" s="360"/>
      <c r="E174" s="360"/>
      <c r="F174" s="360"/>
      <c r="G174" s="334"/>
      <c r="H174" s="334"/>
      <c r="I174" s="334"/>
      <c r="J174" s="334"/>
      <c r="K174" s="334"/>
      <c r="L174" s="334"/>
      <c r="M174" s="360"/>
      <c r="N174" s="360"/>
      <c r="O174" s="360"/>
      <c r="P174" s="339"/>
      <c r="Q174" s="339"/>
      <c r="R174" s="338"/>
      <c r="S174" s="338"/>
      <c r="T174" s="338"/>
      <c r="U174" s="338"/>
      <c r="V174" s="338"/>
      <c r="W174" s="338"/>
      <c r="X174" s="338"/>
      <c r="Y174" s="338"/>
      <c r="Z174" s="338"/>
      <c r="AA174" s="338"/>
      <c r="AB174" s="338"/>
      <c r="AC174" s="338"/>
      <c r="AD174" s="338"/>
      <c r="AE174" s="338"/>
      <c r="AF174" s="338"/>
      <c r="AG174" s="338"/>
      <c r="AH174" s="338"/>
      <c r="AI174" s="338"/>
      <c r="AJ174" s="338"/>
      <c r="AR174" s="310"/>
    </row>
    <row r="175" spans="1:44">
      <c r="A175" s="134"/>
      <c r="B175" s="360"/>
      <c r="C175" s="360"/>
      <c r="D175" s="360"/>
      <c r="E175" s="360"/>
      <c r="F175" s="360"/>
      <c r="G175" s="334"/>
      <c r="H175" s="334"/>
      <c r="I175" s="334"/>
      <c r="J175" s="334"/>
      <c r="K175" s="334"/>
      <c r="L175" s="334"/>
      <c r="M175" s="360"/>
      <c r="N175" s="360"/>
      <c r="O175" s="360"/>
      <c r="P175" s="339"/>
      <c r="Q175" s="338"/>
      <c r="R175" s="360"/>
      <c r="S175" s="360"/>
      <c r="T175" s="360"/>
      <c r="U175" s="360"/>
      <c r="V175" s="360"/>
      <c r="W175" s="360"/>
      <c r="X175" s="360"/>
      <c r="AC175" s="360"/>
      <c r="AD175" s="360"/>
      <c r="AE175" s="360"/>
      <c r="AR175" s="310"/>
    </row>
    <row r="176" spans="1:44">
      <c r="A176" s="134"/>
      <c r="G176" s="334"/>
      <c r="H176" s="334"/>
      <c r="I176" s="334"/>
      <c r="J176" s="334"/>
      <c r="K176" s="334"/>
      <c r="L176" s="334"/>
      <c r="P176" s="339"/>
      <c r="Q176" s="360"/>
      <c r="R176" s="360"/>
      <c r="S176" s="360"/>
      <c r="T176" s="360"/>
      <c r="U176" s="360"/>
      <c r="V176" s="360"/>
      <c r="W176" s="360"/>
      <c r="X176" s="360"/>
      <c r="AC176" s="360"/>
      <c r="AD176" s="360"/>
      <c r="AE176" s="360"/>
      <c r="AR176" s="310"/>
    </row>
    <row r="177" spans="1:44">
      <c r="G177" s="334"/>
      <c r="H177" s="334"/>
      <c r="I177" s="334"/>
      <c r="J177" s="334"/>
      <c r="K177" s="334"/>
      <c r="L177" s="334"/>
      <c r="P177" s="339"/>
      <c r="Q177" s="360"/>
    </row>
    <row r="178" spans="1:44">
      <c r="A178" s="401"/>
      <c r="G178" s="334"/>
      <c r="H178" s="334"/>
      <c r="I178" s="334"/>
      <c r="J178" s="334"/>
      <c r="K178" s="334"/>
      <c r="L178" s="334"/>
      <c r="P178" s="339"/>
      <c r="AR178" s="310"/>
    </row>
    <row r="179" spans="1:44">
      <c r="A179" s="401"/>
      <c r="P179" s="339"/>
      <c r="AR179" s="359"/>
    </row>
    <row r="180" spans="1:44">
      <c r="P180" s="339"/>
      <c r="AR180" s="339"/>
    </row>
    <row r="181" spans="1:44">
      <c r="P181" s="339"/>
      <c r="AR181" s="339"/>
    </row>
    <row r="182" spans="1:44">
      <c r="A182" s="253"/>
      <c r="P182" s="339"/>
      <c r="AR182" s="339"/>
    </row>
    <row r="183" spans="1:44">
      <c r="P183" s="339"/>
      <c r="AR183" s="339"/>
    </row>
    <row r="184" spans="1:44">
      <c r="P184" s="338"/>
      <c r="AR184" s="339"/>
    </row>
    <row r="185" spans="1:44">
      <c r="P185" s="360"/>
      <c r="AR185" s="339"/>
    </row>
    <row r="186" spans="1:44">
      <c r="P186" s="360"/>
      <c r="AR186" s="339"/>
    </row>
    <row r="187" spans="1:44">
      <c r="AR187" s="339"/>
    </row>
    <row r="188" spans="1:44">
      <c r="Y188" s="338"/>
      <c r="Z188" s="338"/>
      <c r="AA188" s="338"/>
      <c r="AB188" s="338"/>
      <c r="AF188" s="338"/>
      <c r="AG188" s="338"/>
      <c r="AH188" s="338"/>
      <c r="AI188" s="338"/>
      <c r="AJ188" s="338"/>
      <c r="AR188" s="339"/>
    </row>
    <row r="189" spans="1:44">
      <c r="Y189" s="360"/>
      <c r="Z189" s="360"/>
      <c r="AA189" s="360"/>
      <c r="AB189" s="360"/>
      <c r="AF189" s="360"/>
      <c r="AG189" s="360"/>
      <c r="AH189" s="360"/>
      <c r="AI189" s="360"/>
      <c r="AJ189" s="360"/>
      <c r="AR189" s="339"/>
    </row>
    <row r="190" spans="1:44">
      <c r="Y190" s="360"/>
      <c r="Z190" s="360"/>
      <c r="AA190" s="360"/>
      <c r="AB190" s="360"/>
      <c r="AF190" s="360"/>
      <c r="AG190" s="360"/>
      <c r="AH190" s="360"/>
      <c r="AI190" s="360"/>
      <c r="AJ190" s="360"/>
      <c r="AR190" s="339"/>
    </row>
    <row r="191" spans="1:44">
      <c r="AR191" s="339"/>
    </row>
    <row r="192" spans="1:44">
      <c r="AR192" s="339"/>
    </row>
    <row r="193" spans="44:44">
      <c r="AR193" s="339"/>
    </row>
    <row r="194" spans="44:44">
      <c r="AR194" s="339"/>
    </row>
    <row r="195" spans="44:44">
      <c r="AR195" s="339"/>
    </row>
    <row r="196" spans="44:44">
      <c r="AR196" s="339"/>
    </row>
    <row r="197" spans="44:44">
      <c r="AR197" s="339"/>
    </row>
    <row r="198" spans="44:44">
      <c r="AR198" s="339"/>
    </row>
    <row r="199" spans="44:44">
      <c r="AR199" s="339"/>
    </row>
    <row r="200" spans="44:44">
      <c r="AR200" s="339"/>
    </row>
    <row r="201" spans="44:44">
      <c r="AR201" s="339"/>
    </row>
    <row r="202" spans="44:44">
      <c r="AR202" s="339"/>
    </row>
    <row r="203" spans="44:44">
      <c r="AR203" s="339"/>
    </row>
    <row r="204" spans="44:44">
      <c r="AR204" s="339"/>
    </row>
    <row r="205" spans="44:44">
      <c r="AR205" s="339"/>
    </row>
    <row r="206" spans="44:44">
      <c r="AR206" s="339"/>
    </row>
    <row r="207" spans="44:44">
      <c r="AR207" s="339"/>
    </row>
    <row r="208" spans="44:44">
      <c r="AR208" s="339"/>
    </row>
    <row r="209" spans="44:44">
      <c r="AR209" s="339"/>
    </row>
    <row r="210" spans="44:44">
      <c r="AR210" s="339"/>
    </row>
    <row r="211" spans="44:44">
      <c r="AR211" s="339"/>
    </row>
    <row r="212" spans="44:44">
      <c r="AR212" s="339"/>
    </row>
    <row r="213" spans="44:44">
      <c r="AR213" s="339"/>
    </row>
    <row r="214" spans="44:44">
      <c r="AR214" s="339"/>
    </row>
    <row r="215" spans="44:44">
      <c r="AR215" s="339"/>
    </row>
  </sheetData>
  <sheetProtection algorithmName="SHA-512" hashValue="Im5VzE2ImpOwxTQNMyIwCYlcEYbPIfW08NQ3tt7fwUCXJdpoRI3r7FImqpWKhFmon5Kbu3myPPRE22bSfUoKQQ==" saltValue="2RoKYxPa/BRDwu4Wm1zXWA==" spinCount="100000" sheet="1" objects="1" scenarios="1"/>
  <mergeCells count="433">
    <mergeCell ref="H143:H148"/>
    <mergeCell ref="K143:K148"/>
    <mergeCell ref="F127:H127"/>
    <mergeCell ref="B126:H126"/>
    <mergeCell ref="C127:E127"/>
    <mergeCell ref="H128:H129"/>
    <mergeCell ref="M142:M148"/>
    <mergeCell ref="M153:M154"/>
    <mergeCell ref="M149:M152"/>
    <mergeCell ref="B152:C152"/>
    <mergeCell ref="B140:C141"/>
    <mergeCell ref="D140:K141"/>
    <mergeCell ref="G147:G148"/>
    <mergeCell ref="I144:I145"/>
    <mergeCell ref="I147:I148"/>
    <mergeCell ref="D154:K154"/>
    <mergeCell ref="A110:C112"/>
    <mergeCell ref="B120:C120"/>
    <mergeCell ref="O140:O141"/>
    <mergeCell ref="F120:H120"/>
    <mergeCell ref="A138:C138"/>
    <mergeCell ref="A102:C106"/>
    <mergeCell ref="F106:H106"/>
    <mergeCell ref="D115:E115"/>
    <mergeCell ref="B117:C117"/>
    <mergeCell ref="D117:E117"/>
    <mergeCell ref="F117:H117"/>
    <mergeCell ref="A140:A141"/>
    <mergeCell ref="D102:E102"/>
    <mergeCell ref="F102:H102"/>
    <mergeCell ref="D103:E103"/>
    <mergeCell ref="F103:H103"/>
    <mergeCell ref="D112:E112"/>
    <mergeCell ref="B123:C123"/>
    <mergeCell ref="A107:C109"/>
    <mergeCell ref="C128:C129"/>
    <mergeCell ref="B139:C139"/>
    <mergeCell ref="A113:A122"/>
    <mergeCell ref="D113:E113"/>
    <mergeCell ref="D105:E105"/>
    <mergeCell ref="D90:E90"/>
    <mergeCell ref="F90:H90"/>
    <mergeCell ref="N113:O122"/>
    <mergeCell ref="N85:O91"/>
    <mergeCell ref="N92:O96"/>
    <mergeCell ref="N97:O101"/>
    <mergeCell ref="F114:H114"/>
    <mergeCell ref="N102:O106"/>
    <mergeCell ref="N107:O109"/>
    <mergeCell ref="N110:O112"/>
    <mergeCell ref="F94:H94"/>
    <mergeCell ref="D95:E95"/>
    <mergeCell ref="D97:E97"/>
    <mergeCell ref="F97:H97"/>
    <mergeCell ref="D98:E98"/>
    <mergeCell ref="F95:H95"/>
    <mergeCell ref="D96:E96"/>
    <mergeCell ref="F96:H96"/>
    <mergeCell ref="F105:H105"/>
    <mergeCell ref="D106:E106"/>
    <mergeCell ref="F118:H118"/>
    <mergeCell ref="B158:C158"/>
    <mergeCell ref="D157:K157"/>
    <mergeCell ref="A65:A67"/>
    <mergeCell ref="B65:C67"/>
    <mergeCell ref="D65:E65"/>
    <mergeCell ref="B119:C119"/>
    <mergeCell ref="D119:E119"/>
    <mergeCell ref="D73:E73"/>
    <mergeCell ref="F73:H73"/>
    <mergeCell ref="D69:E69"/>
    <mergeCell ref="B69:C73"/>
    <mergeCell ref="F69:H69"/>
    <mergeCell ref="F113:H113"/>
    <mergeCell ref="B114:C114"/>
    <mergeCell ref="D114:E114"/>
    <mergeCell ref="B115:C115"/>
    <mergeCell ref="A77:A91"/>
    <mergeCell ref="B77:C84"/>
    <mergeCell ref="D104:E104"/>
    <mergeCell ref="F104:H104"/>
    <mergeCell ref="D70:E70"/>
    <mergeCell ref="F72:H72"/>
    <mergeCell ref="F70:H70"/>
    <mergeCell ref="F86:H86"/>
    <mergeCell ref="B68:C68"/>
    <mergeCell ref="D68:E68"/>
    <mergeCell ref="B118:C118"/>
    <mergeCell ref="D118:E118"/>
    <mergeCell ref="B153:C153"/>
    <mergeCell ref="O65:O67"/>
    <mergeCell ref="D66:D67"/>
    <mergeCell ref="F66:H66"/>
    <mergeCell ref="B64:C64"/>
    <mergeCell ref="F67:H67"/>
    <mergeCell ref="D71:E71"/>
    <mergeCell ref="F71:H71"/>
    <mergeCell ref="F68:H68"/>
    <mergeCell ref="G144:G145"/>
    <mergeCell ref="N69:O73"/>
    <mergeCell ref="D149:K149"/>
    <mergeCell ref="B149:B151"/>
    <mergeCell ref="D150:K150"/>
    <mergeCell ref="D151:K151"/>
    <mergeCell ref="B121:C121"/>
    <mergeCell ref="B113:C113"/>
    <mergeCell ref="F119:H119"/>
    <mergeCell ref="D128:D129"/>
    <mergeCell ref="B85:C91"/>
    <mergeCell ref="N77:O84"/>
    <mergeCell ref="A15:A18"/>
    <mergeCell ref="D15:D16"/>
    <mergeCell ref="D51:E51"/>
    <mergeCell ref="F37:H37"/>
    <mergeCell ref="F40:H40"/>
    <mergeCell ref="D35:E35"/>
    <mergeCell ref="F33:H33"/>
    <mergeCell ref="O43:O52"/>
    <mergeCell ref="F34:H34"/>
    <mergeCell ref="F36:H36"/>
    <mergeCell ref="D45:E45"/>
    <mergeCell ref="D46:E46"/>
    <mergeCell ref="D47:E47"/>
    <mergeCell ref="F65:K65"/>
    <mergeCell ref="F47:H47"/>
    <mergeCell ref="F48:H48"/>
    <mergeCell ref="D48:E48"/>
    <mergeCell ref="D57:E57"/>
    <mergeCell ref="D58:E58"/>
    <mergeCell ref="F53:I53"/>
    <mergeCell ref="F54:I54"/>
    <mergeCell ref="F55:I55"/>
    <mergeCell ref="N53:N61"/>
    <mergeCell ref="A8:A11"/>
    <mergeCell ref="A6:A7"/>
    <mergeCell ref="A13:A14"/>
    <mergeCell ref="D19:E19"/>
    <mergeCell ref="D20:E20"/>
    <mergeCell ref="D12:E12"/>
    <mergeCell ref="D6:M6"/>
    <mergeCell ref="D13:M13"/>
    <mergeCell ref="C15:C18"/>
    <mergeCell ref="B15:B18"/>
    <mergeCell ref="B19:C19"/>
    <mergeCell ref="D17:D18"/>
    <mergeCell ref="D8:D9"/>
    <mergeCell ref="D10:D11"/>
    <mergeCell ref="B6:C6"/>
    <mergeCell ref="B12:C12"/>
    <mergeCell ref="B8:B11"/>
    <mergeCell ref="AF23:AG24"/>
    <mergeCell ref="AH23:AJ23"/>
    <mergeCell ref="AH24:AH25"/>
    <mergeCell ref="AI24:AI25"/>
    <mergeCell ref="AJ24:AJ25"/>
    <mergeCell ref="F25:H25"/>
    <mergeCell ref="N62:N63"/>
    <mergeCell ref="O62:O63"/>
    <mergeCell ref="Q62:Q63"/>
    <mergeCell ref="F43:H43"/>
    <mergeCell ref="F61:H61"/>
    <mergeCell ref="Q43:Q52"/>
    <mergeCell ref="R43:R52"/>
    <mergeCell ref="Q57:Q61"/>
    <mergeCell ref="R57:R61"/>
    <mergeCell ref="F57:H57"/>
    <mergeCell ref="F58:H58"/>
    <mergeCell ref="F59:H59"/>
    <mergeCell ref="F60:H60"/>
    <mergeCell ref="F44:H44"/>
    <mergeCell ref="F45:H45"/>
    <mergeCell ref="X24:X25"/>
    <mergeCell ref="Y24:AC24"/>
    <mergeCell ref="AD24:AD25"/>
    <mergeCell ref="J1:O1"/>
    <mergeCell ref="AR1:BM1"/>
    <mergeCell ref="AR2:AV2"/>
    <mergeCell ref="AW2:AX2"/>
    <mergeCell ref="AY2:AZ2"/>
    <mergeCell ref="BC2:BD2"/>
    <mergeCell ref="BE2:BF2"/>
    <mergeCell ref="BF3:BF5"/>
    <mergeCell ref="BH3:BH5"/>
    <mergeCell ref="BJ3:BJ5"/>
    <mergeCell ref="BG2:BH2"/>
    <mergeCell ref="BI2:BJ2"/>
    <mergeCell ref="BK2:BM2"/>
    <mergeCell ref="AX3:AX5"/>
    <mergeCell ref="AZ3:AZ5"/>
    <mergeCell ref="BD3:BD5"/>
    <mergeCell ref="BA2:BB2"/>
    <mergeCell ref="BB3:BB5"/>
    <mergeCell ref="D3:J3"/>
    <mergeCell ref="K3:M3"/>
    <mergeCell ref="AI137:AJ137"/>
    <mergeCell ref="AI134:AJ134"/>
    <mergeCell ref="AI135:AJ135"/>
    <mergeCell ref="AI136:AJ136"/>
    <mergeCell ref="Q134:Q138"/>
    <mergeCell ref="R134:R138"/>
    <mergeCell ref="T134:T138"/>
    <mergeCell ref="U134:U138"/>
    <mergeCell ref="Z134:AB138"/>
    <mergeCell ref="AF134:AG138"/>
    <mergeCell ref="AC133:AC138"/>
    <mergeCell ref="T131:T133"/>
    <mergeCell ref="U131:U133"/>
    <mergeCell ref="V131:AE131"/>
    <mergeCell ref="AF131:AG132"/>
    <mergeCell ref="AH131:AJ131"/>
    <mergeCell ref="V132:V133"/>
    <mergeCell ref="W132:W133"/>
    <mergeCell ref="AI138:AJ138"/>
    <mergeCell ref="Q128:AJ128"/>
    <mergeCell ref="X132:X133"/>
    <mergeCell ref="Y132:AC132"/>
    <mergeCell ref="AD132:AD133"/>
    <mergeCell ref="AE132:AE133"/>
    <mergeCell ref="AH132:AH133"/>
    <mergeCell ref="AI132:AI133"/>
    <mergeCell ref="AJ132:AJ133"/>
    <mergeCell ref="Z133:AB133"/>
    <mergeCell ref="Q131:R132"/>
    <mergeCell ref="T23:T25"/>
    <mergeCell ref="U23:U25"/>
    <mergeCell ref="V23:AE23"/>
    <mergeCell ref="AE24:AE25"/>
    <mergeCell ref="V24:V25"/>
    <mergeCell ref="W24:W25"/>
    <mergeCell ref="S43:S52"/>
    <mergeCell ref="S57:S61"/>
    <mergeCell ref="S62:S63"/>
    <mergeCell ref="R62:R63"/>
    <mergeCell ref="B24:C25"/>
    <mergeCell ref="D24:E25"/>
    <mergeCell ref="N24:N25"/>
    <mergeCell ref="S23:S25"/>
    <mergeCell ref="A23:C23"/>
    <mergeCell ref="D23:M23"/>
    <mergeCell ref="N23:O23"/>
    <mergeCell ref="Q23:R24"/>
    <mergeCell ref="O24:O25"/>
    <mergeCell ref="A24:A25"/>
    <mergeCell ref="D27:E27"/>
    <mergeCell ref="D28:E28"/>
    <mergeCell ref="N43:N52"/>
    <mergeCell ref="F62:H62"/>
    <mergeCell ref="D31:E31"/>
    <mergeCell ref="B62:B63"/>
    <mergeCell ref="D59:E59"/>
    <mergeCell ref="D60:E60"/>
    <mergeCell ref="D61:E61"/>
    <mergeCell ref="F39:H39"/>
    <mergeCell ref="D44:E44"/>
    <mergeCell ref="F51:H51"/>
    <mergeCell ref="D50:E50"/>
    <mergeCell ref="B159:C159"/>
    <mergeCell ref="D159:K159"/>
    <mergeCell ref="B155:C155"/>
    <mergeCell ref="D155:K155"/>
    <mergeCell ref="B156:C156"/>
    <mergeCell ref="D156:K156"/>
    <mergeCell ref="N74:O76"/>
    <mergeCell ref="D75:E76"/>
    <mergeCell ref="F76:H76"/>
    <mergeCell ref="D74:M74"/>
    <mergeCell ref="F107:H107"/>
    <mergeCell ref="D138:M138"/>
    <mergeCell ref="N138:N139"/>
    <mergeCell ref="O138:O139"/>
    <mergeCell ref="D91:E91"/>
    <mergeCell ref="F91:H91"/>
    <mergeCell ref="D88:E88"/>
    <mergeCell ref="F88:H88"/>
    <mergeCell ref="D89:E89"/>
    <mergeCell ref="E128:E129"/>
    <mergeCell ref="F128:G128"/>
    <mergeCell ref="D110:E110"/>
    <mergeCell ref="A97:C101"/>
    <mergeCell ref="B154:C154"/>
    <mergeCell ref="N6:N7"/>
    <mergeCell ref="C8:C11"/>
    <mergeCell ref="F82:H82"/>
    <mergeCell ref="D83:E83"/>
    <mergeCell ref="F83:H83"/>
    <mergeCell ref="F78:H78"/>
    <mergeCell ref="D79:E79"/>
    <mergeCell ref="F79:H79"/>
    <mergeCell ref="D80:E80"/>
    <mergeCell ref="F80:H80"/>
    <mergeCell ref="D81:E81"/>
    <mergeCell ref="F81:H81"/>
    <mergeCell ref="D63:E63"/>
    <mergeCell ref="F63:H63"/>
    <mergeCell ref="D62:E62"/>
    <mergeCell ref="D52:E52"/>
    <mergeCell ref="F46:H46"/>
    <mergeCell ref="A74:C74"/>
    <mergeCell ref="A75:C76"/>
    <mergeCell ref="A26:A41"/>
    <mergeCell ref="B27:C27"/>
    <mergeCell ref="F64:H64"/>
    <mergeCell ref="A42:A63"/>
    <mergeCell ref="A68:A73"/>
    <mergeCell ref="M157:M158"/>
    <mergeCell ref="N157:N158"/>
    <mergeCell ref="D158:K158"/>
    <mergeCell ref="B157:C157"/>
    <mergeCell ref="N123:O123"/>
    <mergeCell ref="F115:H115"/>
    <mergeCell ref="B116:C116"/>
    <mergeCell ref="D116:E116"/>
    <mergeCell ref="F116:H116"/>
    <mergeCell ref="M155:M156"/>
    <mergeCell ref="N155:N156"/>
    <mergeCell ref="O155:O156"/>
    <mergeCell ref="O157:O158"/>
    <mergeCell ref="D152:K152"/>
    <mergeCell ref="D153:K153"/>
    <mergeCell ref="D123:E123"/>
    <mergeCell ref="F123:H123"/>
    <mergeCell ref="B127:B129"/>
    <mergeCell ref="I127:I129"/>
    <mergeCell ref="M140:M141"/>
    <mergeCell ref="D142:E148"/>
    <mergeCell ref="B122:C122"/>
    <mergeCell ref="N142:N154"/>
    <mergeCell ref="O142:O154"/>
    <mergeCell ref="A157:A158"/>
    <mergeCell ref="N140:N141"/>
    <mergeCell ref="F98:H98"/>
    <mergeCell ref="D99:E99"/>
    <mergeCell ref="F99:H99"/>
    <mergeCell ref="D100:E100"/>
    <mergeCell ref="F100:H100"/>
    <mergeCell ref="D101:E101"/>
    <mergeCell ref="F101:H101"/>
    <mergeCell ref="D121:E121"/>
    <mergeCell ref="F121:H121"/>
    <mergeCell ref="D122:E122"/>
    <mergeCell ref="F122:H122"/>
    <mergeCell ref="D139:K139"/>
    <mergeCell ref="D111:E111"/>
    <mergeCell ref="F111:H111"/>
    <mergeCell ref="L142:L148"/>
    <mergeCell ref="J144:J145"/>
    <mergeCell ref="J147:J148"/>
    <mergeCell ref="A142:A154"/>
    <mergeCell ref="B142:C148"/>
    <mergeCell ref="A126:A129"/>
    <mergeCell ref="L140:L141"/>
    <mergeCell ref="D120:E120"/>
    <mergeCell ref="L75:M76"/>
    <mergeCell ref="F112:H112"/>
    <mergeCell ref="D109:E109"/>
    <mergeCell ref="F109:H109"/>
    <mergeCell ref="D107:E107"/>
    <mergeCell ref="D108:E108"/>
    <mergeCell ref="F108:H108"/>
    <mergeCell ref="D84:E84"/>
    <mergeCell ref="F84:H84"/>
    <mergeCell ref="D85:E85"/>
    <mergeCell ref="F85:H85"/>
    <mergeCell ref="D86:E86"/>
    <mergeCell ref="F110:H110"/>
    <mergeCell ref="F92:H92"/>
    <mergeCell ref="D93:E93"/>
    <mergeCell ref="F93:H93"/>
    <mergeCell ref="F89:H89"/>
    <mergeCell ref="F87:H87"/>
    <mergeCell ref="D77:E77"/>
    <mergeCell ref="F77:H77"/>
    <mergeCell ref="F75:K75"/>
    <mergeCell ref="D78:E78"/>
    <mergeCell ref="D82:E82"/>
    <mergeCell ref="D87:E87"/>
    <mergeCell ref="F56:I56"/>
    <mergeCell ref="A92:C96"/>
    <mergeCell ref="D92:E92"/>
    <mergeCell ref="B53:B61"/>
    <mergeCell ref="C57:C61"/>
    <mergeCell ref="C53:C56"/>
    <mergeCell ref="D94:E94"/>
    <mergeCell ref="D72:E72"/>
    <mergeCell ref="B26:C26"/>
    <mergeCell ref="D26:E26"/>
    <mergeCell ref="D43:E43"/>
    <mergeCell ref="D53:E53"/>
    <mergeCell ref="D55:E55"/>
    <mergeCell ref="B28:C28"/>
    <mergeCell ref="D64:E64"/>
    <mergeCell ref="B31:C34"/>
    <mergeCell ref="D32:D34"/>
    <mergeCell ref="F26:H26"/>
    <mergeCell ref="B29:B30"/>
    <mergeCell ref="B42:C42"/>
    <mergeCell ref="D42:E42"/>
    <mergeCell ref="B41:C41"/>
    <mergeCell ref="D41:E41"/>
    <mergeCell ref="F35:K35"/>
    <mergeCell ref="F42:K42"/>
    <mergeCell ref="D29:E29"/>
    <mergeCell ref="D30:E30"/>
    <mergeCell ref="F29:H29"/>
    <mergeCell ref="F30:H30"/>
    <mergeCell ref="F38:H38"/>
    <mergeCell ref="D36:D40"/>
    <mergeCell ref="B13:C13"/>
    <mergeCell ref="B20:C20"/>
    <mergeCell ref="Q53:Q56"/>
    <mergeCell ref="R53:R56"/>
    <mergeCell ref="S53:S56"/>
    <mergeCell ref="O53:O61"/>
    <mergeCell ref="B3:C3"/>
    <mergeCell ref="L24:M24"/>
    <mergeCell ref="F24:K24"/>
    <mergeCell ref="F41:K41"/>
    <mergeCell ref="F27:K27"/>
    <mergeCell ref="F28:K28"/>
    <mergeCell ref="F31:K31"/>
    <mergeCell ref="F32:K32"/>
    <mergeCell ref="N13:N14"/>
    <mergeCell ref="O31:O34"/>
    <mergeCell ref="B35:C40"/>
    <mergeCell ref="O35:O40"/>
    <mergeCell ref="B43:B52"/>
    <mergeCell ref="C43:C44"/>
    <mergeCell ref="C45:C48"/>
    <mergeCell ref="C49:C52"/>
    <mergeCell ref="D49:E49"/>
    <mergeCell ref="F52:H52"/>
    <mergeCell ref="F49:H49"/>
    <mergeCell ref="F50:H50"/>
  </mergeCells>
  <phoneticPr fontId="1"/>
  <conditionalFormatting sqref="O140:O159">
    <cfRule type="cellIs" dxfId="15" priority="125" operator="lessThan">
      <formula>0</formula>
    </cfRule>
  </conditionalFormatting>
  <conditionalFormatting sqref="N69 M77:O123 M26:M73 O26:O53 O62:O68">
    <cfRule type="containsText" dxfId="14" priority="124" operator="containsText" text="×">
      <formula>NOT(ISERROR(SEARCH("×",M26)))</formula>
    </cfRule>
  </conditionalFormatting>
  <conditionalFormatting sqref="F26 F29:H30 F33:H34 F36:H40 F66:H73 K38:K39 K67:K68 K77:K123 F57:H64 F43:H52 K43:K56">
    <cfRule type="expression" dxfId="13" priority="121">
      <formula>IFERROR(NOT($W26),TRUE)</formula>
    </cfRule>
  </conditionalFormatting>
  <conditionalFormatting sqref="J26 J29:J30 J33:J34 J36:J40 J66:J73 J77:J123 J57:J64 J43:J52">
    <cfRule type="expression" dxfId="12" priority="120">
      <formula>AND($J26&lt;&gt;"",$J26&lt;&gt;"○")</formula>
    </cfRule>
  </conditionalFormatting>
  <conditionalFormatting sqref="L77:L123 L26:L73">
    <cfRule type="containsText" dxfId="11" priority="119" operator="containsText" text="調整">
      <formula>NOT(ISERROR(SEARCH("調整",L26)))</formula>
    </cfRule>
  </conditionalFormatting>
  <conditionalFormatting sqref="A136:O142 A129:G135 A127:C127 I126:O129 A126:B126 A128:E128 F127 H128 H130:H135 A26:O52 J132:O135 I131:O131 J130:O130 A62:O125 A53:D53 K53:O53 A149:O149 A143:L148 N143:O148 A155:O159 A150:L154 N150:O154 D54:E54 A54:A61 C57:M57 D58:M61 K54:M56 D56:E56 D55">
    <cfRule type="containsText" dxfId="10" priority="118" operator="containsText" text="エラー">
      <formula>NOT(ISERROR(SEARCH("エラー",A26)))</formula>
    </cfRule>
  </conditionalFormatting>
  <conditionalFormatting sqref="I133:I135">
    <cfRule type="containsText" dxfId="9" priority="4" operator="containsText" text="エラー">
      <formula>NOT(ISERROR(SEARCH("エラー",I133)))</formula>
    </cfRule>
  </conditionalFormatting>
  <conditionalFormatting sqref="I130">
    <cfRule type="containsText" dxfId="8" priority="3" operator="containsText" text="エラー">
      <formula>NOT(ISERROR(SEARCH("エラー",I130)))</formula>
    </cfRule>
  </conditionalFormatting>
  <conditionalFormatting sqref="I132">
    <cfRule type="containsText" dxfId="7" priority="2" operator="containsText" text="エラー">
      <formula>NOT(ISERROR(SEARCH("エラー",I132)))</formula>
    </cfRule>
  </conditionalFormatting>
  <conditionalFormatting sqref="F53:J56">
    <cfRule type="containsText" dxfId="6" priority="1" operator="containsText" text="エラー">
      <formula>NOT(ISERROR(SEARCH("エラー",F53)))</formula>
    </cfRule>
  </conditionalFormatting>
  <dataValidations disablePrompts="1" count="2">
    <dataValidation type="decimal" allowBlank="1" showInputMessage="1" showErrorMessage="1" sqref="K38:K39 K77:K123 K69:K73" xr:uid="{00000000-0002-0000-0D00-000000000000}">
      <formula1>0</formula1>
      <formula2>$U38</formula2>
    </dataValidation>
    <dataValidation type="list" allowBlank="1" showInputMessage="1" showErrorMessage="1" sqref="F77:F122 F29:H30 F26:H26 F33:H33 F36:H39 G67:H73 F66:F73 F57:H64 F43:H52" xr:uid="{00000000-0002-0000-0D00-000001000000}">
      <formula1>INDIRECT($T26)</formula1>
    </dataValidation>
  </dataValidations>
  <printOptions horizontalCentered="1"/>
  <pageMargins left="0.51181102362204722" right="0.31496062992125984" top="0.74803149606299213" bottom="0.74803149606299213" header="0.31496062992125984" footer="0.31496062992125984"/>
  <pageSetup paperSize="9" scale="59" orientation="portrait" r:id="rId1"/>
  <rowBreaks count="2" manualBreakCount="2">
    <brk id="73" max="14" man="1"/>
    <brk id="183" max="12" man="1"/>
  </rowBreaks>
  <ignoredErrors>
    <ignoredError sqref="Q35" formula="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tabColor rgb="FFFF0000"/>
    <pageSetUpPr fitToPage="1"/>
  </sheetPr>
  <dimension ref="A1:AN52"/>
  <sheetViews>
    <sheetView showZeros="0" view="pageBreakPreview" zoomScale="85" zoomScaleNormal="85" zoomScaleSheetLayoutView="85" workbookViewId="0">
      <selection activeCell="B3" sqref="B3"/>
    </sheetView>
  </sheetViews>
  <sheetFormatPr defaultColWidth="9" defaultRowHeight="12" outlineLevelCol="1"/>
  <cols>
    <col min="1" max="27" width="5.625" style="107" customWidth="1"/>
    <col min="28" max="28" width="50.625" style="107" customWidth="1"/>
    <col min="29" max="29" width="19.625" style="107" hidden="1" customWidth="1" outlineLevel="1"/>
    <col min="30" max="39" width="9" style="107" hidden="1" customWidth="1" outlineLevel="1"/>
    <col min="40" max="40" width="9" style="107" collapsed="1"/>
    <col min="41" max="16384" width="9" style="107"/>
  </cols>
  <sheetData>
    <row r="1" spans="1:39" ht="15" customHeight="1">
      <c r="A1" s="653"/>
      <c r="B1" s="653"/>
      <c r="C1" s="653"/>
      <c r="D1" s="653"/>
      <c r="E1" s="653"/>
      <c r="F1" s="653"/>
      <c r="G1" s="653"/>
      <c r="H1" s="653"/>
      <c r="I1" s="653"/>
      <c r="J1" s="653"/>
      <c r="K1" s="653"/>
      <c r="L1" s="653"/>
      <c r="M1" s="653"/>
      <c r="N1" s="653"/>
      <c r="O1" s="653"/>
      <c r="P1" s="653"/>
      <c r="Q1" s="653"/>
      <c r="R1" s="653"/>
      <c r="S1" s="653"/>
      <c r="T1" s="2203" t="str">
        <f>AC2&amp;"様式6"&amp;AC3</f>
        <v>加-23_月申-様式6-保_Ver.2.01</v>
      </c>
      <c r="U1" s="2203"/>
      <c r="V1" s="2203"/>
      <c r="W1" s="2203"/>
      <c r="X1" s="2203"/>
      <c r="Y1" s="2203"/>
      <c r="Z1" s="2203"/>
      <c r="AA1" s="653"/>
      <c r="AC1" s="190" t="s">
        <v>1018</v>
      </c>
      <c r="AD1" s="108" t="s">
        <v>122</v>
      </c>
      <c r="AE1" s="108" t="s">
        <v>120</v>
      </c>
      <c r="AF1" s="135" t="s">
        <v>83</v>
      </c>
      <c r="AG1" s="135" t="s">
        <v>586</v>
      </c>
      <c r="AH1" s="136" t="s">
        <v>82</v>
      </c>
      <c r="AI1" s="136" t="s">
        <v>588</v>
      </c>
      <c r="AJ1" s="136" t="s">
        <v>85</v>
      </c>
      <c r="AK1" s="136" t="s">
        <v>86</v>
      </c>
      <c r="AL1" s="137" t="s">
        <v>123</v>
      </c>
      <c r="AM1" s="108" t="s">
        <v>141</v>
      </c>
    </row>
    <row r="2" spans="1:39" ht="15" customHeight="1">
      <c r="A2" s="654" t="s">
        <v>606</v>
      </c>
      <c r="B2" s="653"/>
      <c r="C2" s="653"/>
      <c r="D2" s="653"/>
      <c r="E2" s="653"/>
      <c r="F2" s="653"/>
      <c r="G2" s="653"/>
      <c r="H2" s="653"/>
      <c r="I2" s="653"/>
      <c r="J2" s="653"/>
      <c r="K2" s="653"/>
      <c r="L2" s="653"/>
      <c r="M2" s="653"/>
      <c r="N2" s="653"/>
      <c r="O2" s="653"/>
      <c r="P2" s="653"/>
      <c r="Q2" s="653"/>
      <c r="R2" s="653"/>
      <c r="S2" s="653"/>
      <c r="T2" s="653"/>
      <c r="U2" s="653"/>
      <c r="V2" s="653"/>
      <c r="W2" s="653"/>
      <c r="X2" s="2733" t="s">
        <v>152</v>
      </c>
      <c r="Y2" s="2733"/>
      <c r="Z2" s="2733"/>
      <c r="AA2" s="2733"/>
      <c r="AC2" s="190" t="str">
        <f>【様式１】総括表・個票!$AJ$2</f>
        <v>加-23_月申-</v>
      </c>
      <c r="AD2" s="108"/>
      <c r="AE2" s="108"/>
      <c r="AF2" s="135"/>
      <c r="AG2" s="136"/>
      <c r="AH2" s="138"/>
      <c r="AI2" s="138"/>
      <c r="AJ2" s="139"/>
      <c r="AK2" s="136"/>
      <c r="AL2" s="108"/>
      <c r="AM2" s="108"/>
    </row>
    <row r="3" spans="1:39" ht="15" customHeight="1">
      <c r="A3" s="653"/>
      <c r="B3" s="653"/>
      <c r="C3" s="653"/>
      <c r="D3" s="653"/>
      <c r="E3" s="653"/>
      <c r="F3" s="653"/>
      <c r="G3" s="653"/>
      <c r="H3" s="653"/>
      <c r="I3" s="653"/>
      <c r="J3" s="653"/>
      <c r="K3" s="653"/>
      <c r="L3" s="653"/>
      <c r="M3" s="653"/>
      <c r="N3" s="653"/>
      <c r="O3" s="653"/>
      <c r="P3" s="653"/>
      <c r="Q3" s="653"/>
      <c r="R3" s="653"/>
      <c r="S3" s="653"/>
      <c r="T3" s="653"/>
      <c r="U3" s="653"/>
      <c r="V3" s="653"/>
      <c r="W3" s="653"/>
      <c r="X3" s="653"/>
      <c r="Y3" s="653"/>
      <c r="Z3" s="653"/>
      <c r="AA3" s="653"/>
      <c r="AC3" s="190" t="str">
        <f>【様式１】総括表・個票!$AJ$3</f>
        <v>-保_Ver.2.01</v>
      </c>
      <c r="AD3" s="108">
        <v>2</v>
      </c>
      <c r="AE3" s="108">
        <v>7</v>
      </c>
      <c r="AF3" s="140" t="s">
        <v>65</v>
      </c>
      <c r="AG3" s="137" t="s">
        <v>1237</v>
      </c>
      <c r="AH3" s="138" t="s">
        <v>6</v>
      </c>
      <c r="AI3" s="138" t="s">
        <v>675</v>
      </c>
      <c r="AJ3" s="141">
        <v>1</v>
      </c>
      <c r="AK3" s="1144">
        <v>1</v>
      </c>
      <c r="AL3" s="137">
        <v>1</v>
      </c>
      <c r="AM3" s="1145" t="s">
        <v>142</v>
      </c>
    </row>
    <row r="4" spans="1:39" ht="15" customHeight="1">
      <c r="A4" s="653"/>
      <c r="B4" s="653"/>
      <c r="C4" s="653"/>
      <c r="D4" s="653"/>
      <c r="E4" s="653"/>
      <c r="F4" s="653"/>
      <c r="G4" s="653"/>
      <c r="H4" s="653"/>
      <c r="I4" s="653"/>
      <c r="J4" s="653"/>
      <c r="K4" s="653"/>
      <c r="L4" s="653"/>
      <c r="M4" s="653"/>
      <c r="N4" s="653"/>
      <c r="O4" s="653"/>
      <c r="P4" s="2737" t="s">
        <v>112</v>
      </c>
      <c r="Q4" s="2738"/>
      <c r="R4" s="2738"/>
      <c r="S4" s="2738"/>
      <c r="T4" s="2741"/>
      <c r="U4" s="1138"/>
      <c r="V4" s="2737" t="str">
        <f>【様式１】総括表・個票!$D$10</f>
        <v/>
      </c>
      <c r="W4" s="2738"/>
      <c r="X4" s="655" t="s">
        <v>11</v>
      </c>
      <c r="Y4" s="988">
        <f>【様式１】総括表・個票!$I$10</f>
        <v>0</v>
      </c>
      <c r="Z4" s="2739" t="s">
        <v>111</v>
      </c>
      <c r="AA4" s="2740"/>
      <c r="AD4" s="108">
        <v>3</v>
      </c>
      <c r="AE4" s="108">
        <v>6</v>
      </c>
      <c r="AF4" s="142"/>
      <c r="AG4" s="137" t="s">
        <v>1238</v>
      </c>
      <c r="AH4" s="138" t="s">
        <v>81</v>
      </c>
      <c r="AI4" s="138" t="s">
        <v>676</v>
      </c>
      <c r="AJ4" s="141">
        <v>2</v>
      </c>
      <c r="AK4" s="1144">
        <v>2</v>
      </c>
      <c r="AL4" s="137">
        <v>2</v>
      </c>
      <c r="AM4" s="1146" t="s">
        <v>143</v>
      </c>
    </row>
    <row r="5" spans="1:39" ht="15" customHeight="1">
      <c r="A5" s="653"/>
      <c r="B5" s="653"/>
      <c r="C5" s="653"/>
      <c r="D5" s="653"/>
      <c r="E5" s="653"/>
      <c r="F5" s="653"/>
      <c r="G5" s="653"/>
      <c r="H5" s="653"/>
      <c r="I5" s="653"/>
      <c r="J5" s="653"/>
      <c r="K5" s="653"/>
      <c r="L5" s="653"/>
      <c r="M5" s="653"/>
      <c r="N5" s="653"/>
      <c r="O5" s="653"/>
      <c r="P5" s="2734" t="s">
        <v>12</v>
      </c>
      <c r="Q5" s="2735"/>
      <c r="R5" s="2735"/>
      <c r="S5" s="2735"/>
      <c r="T5" s="2736"/>
      <c r="U5" s="1137"/>
      <c r="V5" s="2734">
        <f>【様式１】総括表・個票!D12</f>
        <v>0</v>
      </c>
      <c r="W5" s="2735"/>
      <c r="X5" s="2735"/>
      <c r="Y5" s="2735"/>
      <c r="Z5" s="2735"/>
      <c r="AA5" s="2736"/>
      <c r="AD5" s="108">
        <v>4</v>
      </c>
      <c r="AE5" s="108">
        <v>5</v>
      </c>
      <c r="AF5" s="142"/>
      <c r="AG5" s="137" t="s">
        <v>1239</v>
      </c>
      <c r="AH5" s="143"/>
      <c r="AI5" s="138" t="s">
        <v>677</v>
      </c>
      <c r="AJ5" s="141">
        <v>3</v>
      </c>
      <c r="AK5" s="1144">
        <v>3</v>
      </c>
      <c r="AL5" s="137">
        <v>3</v>
      </c>
      <c r="AM5" s="1147" t="s">
        <v>144</v>
      </c>
    </row>
    <row r="6" spans="1:39" ht="15" customHeight="1">
      <c r="A6" s="653"/>
      <c r="B6" s="653"/>
      <c r="C6" s="653"/>
      <c r="D6" s="653"/>
      <c r="E6" s="653"/>
      <c r="F6" s="653"/>
      <c r="G6" s="653"/>
      <c r="H6" s="653"/>
      <c r="I6" s="653"/>
      <c r="J6" s="653"/>
      <c r="K6" s="653"/>
      <c r="L6" s="653"/>
      <c r="M6" s="653"/>
      <c r="N6" s="653"/>
      <c r="O6" s="653"/>
      <c r="P6" s="653"/>
      <c r="Q6" s="653"/>
      <c r="R6" s="653"/>
      <c r="S6" s="653"/>
      <c r="T6" s="653"/>
      <c r="U6" s="653"/>
      <c r="V6" s="653"/>
      <c r="W6" s="653"/>
      <c r="X6" s="653"/>
      <c r="Y6" s="653"/>
      <c r="Z6" s="653"/>
      <c r="AA6" s="653"/>
      <c r="AD6" s="108">
        <v>5</v>
      </c>
      <c r="AE6" s="144">
        <v>4</v>
      </c>
      <c r="AF6" s="142"/>
      <c r="AG6" s="137" t="s">
        <v>587</v>
      </c>
      <c r="AH6" s="143"/>
      <c r="AI6" s="143"/>
      <c r="AJ6" s="141">
        <v>3.5</v>
      </c>
      <c r="AK6" s="1144">
        <v>4</v>
      </c>
      <c r="AL6" s="137">
        <v>4</v>
      </c>
      <c r="AM6" s="145"/>
    </row>
    <row r="7" spans="1:39" ht="18.75">
      <c r="A7" s="653"/>
      <c r="B7" s="656" t="str">
        <f>【様式１】総括表・個票!A3&amp;"【確認表】"</f>
        <v>2023年度施設型給付費等にかかる加算（調整）適用申請書（試算様式）【確認表】</v>
      </c>
      <c r="C7" s="657"/>
      <c r="D7" s="657"/>
      <c r="E7" s="657"/>
      <c r="F7" s="657"/>
      <c r="G7" s="657"/>
      <c r="H7" s="657"/>
      <c r="I7" s="657"/>
      <c r="J7" s="657"/>
      <c r="K7" s="657"/>
      <c r="L7" s="657"/>
      <c r="M7" s="657"/>
      <c r="N7" s="657"/>
      <c r="O7" s="657"/>
      <c r="P7" s="657"/>
      <c r="Q7" s="657"/>
      <c r="R7" s="657"/>
      <c r="S7" s="657"/>
      <c r="T7" s="657"/>
      <c r="U7" s="657"/>
      <c r="V7" s="657"/>
      <c r="W7" s="657"/>
      <c r="X7" s="657"/>
      <c r="Y7" s="657"/>
      <c r="Z7" s="657"/>
      <c r="AA7" s="657"/>
      <c r="AD7" s="108">
        <v>6</v>
      </c>
      <c r="AE7" s="108"/>
      <c r="AF7" s="142"/>
      <c r="AG7" s="142"/>
      <c r="AH7" s="143"/>
      <c r="AI7" s="143"/>
      <c r="AJ7" s="141">
        <v>4</v>
      </c>
      <c r="AK7" s="1144">
        <v>5</v>
      </c>
      <c r="AL7" s="137">
        <v>5</v>
      </c>
    </row>
    <row r="8" spans="1:39" ht="15" customHeight="1">
      <c r="A8" s="653"/>
      <c r="B8" s="653"/>
      <c r="C8" s="653"/>
      <c r="D8" s="653"/>
      <c r="E8" s="653"/>
      <c r="F8" s="653"/>
      <c r="G8" s="653"/>
      <c r="H8" s="653"/>
      <c r="I8" s="653"/>
      <c r="J8" s="653"/>
      <c r="K8" s="653"/>
      <c r="L8" s="653"/>
      <c r="M8" s="653"/>
      <c r="N8" s="653"/>
      <c r="O8" s="653"/>
      <c r="P8" s="653"/>
      <c r="Q8" s="653"/>
      <c r="R8" s="653"/>
      <c r="S8" s="653"/>
      <c r="T8" s="653"/>
      <c r="U8" s="653"/>
      <c r="V8" s="653"/>
      <c r="W8" s="653"/>
      <c r="X8" s="653"/>
      <c r="Y8" s="653"/>
      <c r="Z8" s="653"/>
      <c r="AA8" s="653"/>
      <c r="AD8" s="108">
        <v>7</v>
      </c>
      <c r="AE8" s="108"/>
      <c r="AF8" s="142"/>
      <c r="AG8" s="142"/>
      <c r="AH8" s="143"/>
      <c r="AI8" s="143"/>
      <c r="AJ8" s="141">
        <v>4.5</v>
      </c>
      <c r="AK8" s="143"/>
      <c r="AL8" s="137">
        <v>6</v>
      </c>
    </row>
    <row r="9" spans="1:39" ht="15" customHeight="1">
      <c r="A9" s="653"/>
      <c r="B9" s="657" t="s">
        <v>113</v>
      </c>
      <c r="C9" s="653"/>
      <c r="D9" s="653"/>
      <c r="E9" s="653"/>
      <c r="F9" s="653"/>
      <c r="G9" s="653"/>
      <c r="H9" s="653"/>
      <c r="I9" s="653"/>
      <c r="J9" s="653"/>
      <c r="K9" s="653"/>
      <c r="L9" s="653"/>
      <c r="M9" s="653"/>
      <c r="N9" s="653"/>
      <c r="O9" s="653"/>
      <c r="P9" s="653"/>
      <c r="Q9" s="653"/>
      <c r="R9" s="653"/>
      <c r="S9" s="653"/>
      <c r="T9" s="653"/>
      <c r="U9" s="653"/>
      <c r="V9" s="653"/>
      <c r="W9" s="653"/>
      <c r="X9" s="653"/>
      <c r="Y9" s="653"/>
      <c r="Z9" s="653"/>
      <c r="AA9" s="653"/>
      <c r="AD9" s="108">
        <v>8</v>
      </c>
      <c r="AE9" s="108"/>
      <c r="AF9" s="142"/>
      <c r="AG9" s="142"/>
      <c r="AH9" s="143"/>
      <c r="AI9" s="143"/>
      <c r="AJ9" s="141">
        <v>5</v>
      </c>
      <c r="AK9" s="143"/>
      <c r="AL9" s="137">
        <v>7</v>
      </c>
    </row>
    <row r="10" spans="1:39" ht="15" customHeight="1">
      <c r="A10" s="653"/>
      <c r="B10" s="658" t="s">
        <v>116</v>
      </c>
      <c r="C10" s="659"/>
      <c r="D10" s="659"/>
      <c r="E10" s="659"/>
      <c r="F10" s="659"/>
      <c r="G10" s="659"/>
      <c r="H10" s="659"/>
      <c r="I10" s="659"/>
      <c r="J10" s="659"/>
      <c r="K10" s="659"/>
      <c r="L10" s="659"/>
      <c r="M10" s="659"/>
      <c r="N10" s="659"/>
      <c r="O10" s="659"/>
      <c r="P10" s="659"/>
      <c r="Q10" s="659"/>
      <c r="R10" s="659"/>
      <c r="S10" s="659"/>
      <c r="T10" s="659"/>
      <c r="U10" s="659"/>
      <c r="V10" s="659"/>
      <c r="W10" s="659"/>
      <c r="X10" s="659"/>
      <c r="Y10" s="659"/>
      <c r="Z10" s="659"/>
      <c r="AA10" s="659"/>
      <c r="AD10" s="108">
        <v>9</v>
      </c>
      <c r="AE10" s="108"/>
      <c r="AJ10" s="141">
        <v>5.5</v>
      </c>
      <c r="AL10" s="137">
        <v>8</v>
      </c>
    </row>
    <row r="11" spans="1:39" ht="15" customHeight="1">
      <c r="A11" s="653"/>
      <c r="B11" s="658" t="s">
        <v>599</v>
      </c>
      <c r="C11" s="659"/>
      <c r="D11" s="659"/>
      <c r="E11" s="659"/>
      <c r="F11" s="659"/>
      <c r="G11" s="659"/>
      <c r="H11" s="659"/>
      <c r="I11" s="659"/>
      <c r="J11" s="659"/>
      <c r="K11" s="659"/>
      <c r="L11" s="659"/>
      <c r="M11" s="659"/>
      <c r="N11" s="659"/>
      <c r="O11" s="659"/>
      <c r="P11" s="659"/>
      <c r="Q11" s="659"/>
      <c r="R11" s="659"/>
      <c r="S11" s="659"/>
      <c r="T11" s="659"/>
      <c r="U11" s="659"/>
      <c r="V11" s="659"/>
      <c r="W11" s="659"/>
      <c r="X11" s="659"/>
      <c r="Y11" s="659"/>
      <c r="Z11" s="659"/>
      <c r="AA11" s="659"/>
      <c r="AD11" s="108">
        <v>10</v>
      </c>
      <c r="AE11" s="108"/>
      <c r="AJ11" s="141">
        <v>6</v>
      </c>
      <c r="AL11" s="137">
        <v>9</v>
      </c>
    </row>
    <row r="12" spans="1:39" ht="15" customHeight="1">
      <c r="A12" s="653"/>
      <c r="B12" s="653"/>
      <c r="C12" s="653"/>
      <c r="D12" s="653"/>
      <c r="E12" s="653"/>
      <c r="F12" s="653"/>
      <c r="G12" s="653"/>
      <c r="H12" s="653"/>
      <c r="I12" s="653"/>
      <c r="J12" s="653"/>
      <c r="K12" s="653"/>
      <c r="L12" s="653"/>
      <c r="M12" s="653"/>
      <c r="N12" s="653"/>
      <c r="O12" s="653"/>
      <c r="P12" s="653"/>
      <c r="Q12" s="653"/>
      <c r="R12" s="653"/>
      <c r="S12" s="653"/>
      <c r="T12" s="653"/>
      <c r="U12" s="653"/>
      <c r="V12" s="653"/>
      <c r="W12" s="653"/>
      <c r="X12" s="653"/>
      <c r="Y12" s="653"/>
      <c r="Z12" s="653"/>
      <c r="AA12" s="653"/>
      <c r="AD12" s="108">
        <v>11</v>
      </c>
      <c r="AE12" s="108"/>
      <c r="AJ12" s="141">
        <v>6.5</v>
      </c>
      <c r="AL12" s="137">
        <v>10</v>
      </c>
    </row>
    <row r="13" spans="1:39" ht="15" customHeight="1" thickBot="1">
      <c r="A13" s="657"/>
      <c r="B13" s="657" t="s">
        <v>114</v>
      </c>
      <c r="C13" s="657"/>
      <c r="D13" s="657"/>
      <c r="E13" s="657"/>
      <c r="F13" s="657"/>
      <c r="G13" s="653"/>
      <c r="H13" s="653"/>
      <c r="I13" s="653"/>
      <c r="J13" s="653"/>
      <c r="K13" s="653"/>
      <c r="L13" s="653"/>
      <c r="M13" s="657"/>
      <c r="N13" s="657"/>
      <c r="O13" s="653"/>
      <c r="P13" s="653"/>
      <c r="Q13" s="653"/>
      <c r="R13" s="653"/>
      <c r="S13" s="653"/>
      <c r="T13" s="653"/>
      <c r="U13" s="653"/>
      <c r="V13" s="653"/>
      <c r="W13" s="653"/>
      <c r="X13" s="653"/>
      <c r="Y13" s="653"/>
      <c r="Z13" s="653"/>
      <c r="AA13" s="653"/>
      <c r="AD13" s="108">
        <v>12</v>
      </c>
      <c r="AE13" s="108"/>
      <c r="AJ13" s="141">
        <v>7</v>
      </c>
      <c r="AL13" s="137">
        <v>11</v>
      </c>
    </row>
    <row r="14" spans="1:39" ht="24.95" customHeight="1">
      <c r="A14" s="653"/>
      <c r="B14" s="2754" t="s">
        <v>99</v>
      </c>
      <c r="C14" s="2765">
        <f>【様式１】総括表・個票!$A20</f>
        <v>1</v>
      </c>
      <c r="D14" s="2766"/>
      <c r="E14" s="2767"/>
      <c r="F14" s="985">
        <f>【様式１】総括表・個票!$A21</f>
        <v>2</v>
      </c>
      <c r="G14" s="986">
        <f>【様式１】総括表・個票!$A22</f>
        <v>3</v>
      </c>
      <c r="H14" s="986">
        <f>【様式１】総括表・個票!$A24</f>
        <v>5</v>
      </c>
      <c r="I14" s="986">
        <f>【様式１】総括表・個票!$A25</f>
        <v>6</v>
      </c>
      <c r="J14" s="986">
        <f>【様式１】総括表・個票!$A26</f>
        <v>7</v>
      </c>
      <c r="K14" s="986">
        <f>【様式１】総括表・個票!A27</f>
        <v>8</v>
      </c>
      <c r="L14" s="986">
        <f>【様式１】総括表・個票!$A29</f>
        <v>9</v>
      </c>
      <c r="M14" s="985">
        <f>【様式１】総括表・個票!$A30</f>
        <v>10</v>
      </c>
      <c r="N14" s="987">
        <f>【様式１】総括表・個票!A31</f>
        <v>11</v>
      </c>
      <c r="O14" s="986">
        <f>【様式１】総括表・個票!$A33</f>
        <v>12</v>
      </c>
      <c r="P14" s="986">
        <f>【様式１】総括表・個票!$A35</f>
        <v>13</v>
      </c>
      <c r="Q14" s="986">
        <f>【様式１】総括表・個票!$A36</f>
        <v>14</v>
      </c>
      <c r="R14" s="986">
        <f>【様式１】総括表・個票!$A37</f>
        <v>15</v>
      </c>
      <c r="S14" s="2773">
        <f>【様式１】総括表・個票!$A38</f>
        <v>16</v>
      </c>
      <c r="T14" s="2774"/>
      <c r="U14" s="1142">
        <f>COLUMN()-4</f>
        <v>17</v>
      </c>
      <c r="V14" s="986">
        <f t="shared" ref="V14:AA14" si="0">COLUMN()-4</f>
        <v>18</v>
      </c>
      <c r="W14" s="986">
        <f t="shared" si="0"/>
        <v>19</v>
      </c>
      <c r="X14" s="986">
        <f t="shared" si="0"/>
        <v>20</v>
      </c>
      <c r="Y14" s="986">
        <f t="shared" si="0"/>
        <v>21</v>
      </c>
      <c r="Z14" s="986">
        <f t="shared" si="0"/>
        <v>22</v>
      </c>
      <c r="AA14" s="660">
        <f t="shared" si="0"/>
        <v>23</v>
      </c>
      <c r="AJ14" s="141">
        <v>7.5</v>
      </c>
      <c r="AL14" s="137">
        <v>12</v>
      </c>
    </row>
    <row r="15" spans="1:39" ht="337.5">
      <c r="A15" s="653"/>
      <c r="B15" s="2755"/>
      <c r="C15" s="2768" t="str">
        <f>【様式１】総括表・個票!$F20</f>
        <v>処遇改善等加算Ⅰ</v>
      </c>
      <c r="D15" s="2769"/>
      <c r="E15" s="2770"/>
      <c r="F15" s="661" t="str">
        <f>【様式１】総括表・個票!$F21</f>
        <v>3歳児配置改善加算</v>
      </c>
      <c r="G15" s="661" t="str">
        <f>【様式１】総括表・個票!$F22</f>
        <v>休日保育加算</v>
      </c>
      <c r="H15" s="661" t="str">
        <f>【様式１】総括表・個票!$F24</f>
        <v>減価償却費加算</v>
      </c>
      <c r="I15" s="661" t="str">
        <f>【様式１】総括表・個票!$F25</f>
        <v>賃借料加算</v>
      </c>
      <c r="J15" s="661" t="str">
        <f>【様式１】総括表・個票!$F26</f>
        <v>チーム保育推進加算</v>
      </c>
      <c r="K15" s="661" t="str">
        <f>【様式１】総括表・個票!F27</f>
        <v>副食費徴収免除加算(２号)</v>
      </c>
      <c r="L15" s="661" t="str">
        <f>【様式１】総括表・個票!$F29</f>
        <v>分園の場合（減算）</v>
      </c>
      <c r="M15" s="661" t="str">
        <f>【様式１】総括表・個票!$F30</f>
        <v>施設長を配置していない場合(減算）</v>
      </c>
      <c r="N15" s="661" t="str">
        <f>【様式１】総括表・個票!$F31</f>
        <v>土曜日に閉所する場合（前月分実績は備考欄に記載）(減算）</v>
      </c>
      <c r="O15" s="661" t="str">
        <f>【様式１】総括表・個票!$F33</f>
        <v>定員を恒常的に超過する場合(減算）</v>
      </c>
      <c r="P15" s="661" t="str">
        <f>【様式１】総括表・個票!$F35</f>
        <v>主任保育士専任加算</v>
      </c>
      <c r="Q15" s="661" t="str">
        <f>【様式１】総括表・個票!$F36</f>
        <v>療育支援加算</v>
      </c>
      <c r="R15" s="661" t="str">
        <f>【様式１】総括表・個票!$F37</f>
        <v>事務職員雇上費加算</v>
      </c>
      <c r="S15" s="2771" t="str">
        <f>【様式１】総括表・個票!$F38</f>
        <v>処遇改善等加算Ⅱ</v>
      </c>
      <c r="T15" s="2772"/>
      <c r="U15" s="1136" t="str">
        <f>【様式１】総括表・個票!$F39</f>
        <v>処遇改善等加算Ⅲ</v>
      </c>
      <c r="V15" s="661" t="str">
        <f>【様式１】総括表・個票!$F40</f>
        <v>栄養管理加算</v>
      </c>
      <c r="W15" s="661" t="str">
        <f>【様式１】総括表・個票!$F41</f>
        <v>冷暖房費加算</v>
      </c>
      <c r="X15" s="661" t="str">
        <f>【様式１】総括表・個票!$F43</f>
        <v>高齢者等活躍促進加算</v>
      </c>
      <c r="Y15" s="661" t="str">
        <f>【様式１】総括表・個票!$F44</f>
        <v>施設機能強化推進費加算</v>
      </c>
      <c r="Z15" s="661" t="str">
        <f>【様式１】総括表・個票!$F45</f>
        <v>小学校接続加算</v>
      </c>
      <c r="AA15" s="662" t="str">
        <f>【様式１】総括表・個票!$F46</f>
        <v>第三者評価受審加算</v>
      </c>
      <c r="AJ15" s="141">
        <v>8</v>
      </c>
      <c r="AL15" s="137">
        <v>13</v>
      </c>
    </row>
    <row r="16" spans="1:39" ht="74.25" thickBot="1">
      <c r="A16" s="657"/>
      <c r="B16" s="2755"/>
      <c r="C16" s="663" t="s">
        <v>119</v>
      </c>
      <c r="D16" s="664" t="s">
        <v>120</v>
      </c>
      <c r="E16" s="665" t="s">
        <v>15</v>
      </c>
      <c r="F16" s="666"/>
      <c r="G16" s="667">
        <f>【様式１】総括表・個票!AD93</f>
        <v>0</v>
      </c>
      <c r="H16" s="666" t="s">
        <v>557</v>
      </c>
      <c r="I16" s="666" t="s">
        <v>187</v>
      </c>
      <c r="J16" s="666"/>
      <c r="K16" s="666"/>
      <c r="L16" s="666" t="s">
        <v>585</v>
      </c>
      <c r="M16" s="666" t="s">
        <v>585</v>
      </c>
      <c r="N16" s="666" t="s">
        <v>645</v>
      </c>
      <c r="O16" s="666" t="s">
        <v>191</v>
      </c>
      <c r="P16" s="666"/>
      <c r="Q16" s="666" t="s">
        <v>644</v>
      </c>
      <c r="R16" s="666"/>
      <c r="S16" s="668" t="s">
        <v>117</v>
      </c>
      <c r="T16" s="669" t="s">
        <v>118</v>
      </c>
      <c r="U16" s="1143"/>
      <c r="V16" s="666" t="s">
        <v>620</v>
      </c>
      <c r="W16" s="666" t="s">
        <v>192</v>
      </c>
      <c r="X16" s="670" t="s">
        <v>509</v>
      </c>
      <c r="Y16" s="670" t="s">
        <v>509</v>
      </c>
      <c r="Z16" s="670" t="s">
        <v>509</v>
      </c>
      <c r="AA16" s="671" t="s">
        <v>509</v>
      </c>
      <c r="AB16" s="104"/>
      <c r="AC16" s="104"/>
      <c r="AL16" s="137">
        <v>14</v>
      </c>
    </row>
    <row r="17" spans="1:38" s="104" customFormat="1" ht="35.1" customHeight="1">
      <c r="A17" s="653"/>
      <c r="B17" s="672" t="s">
        <v>121</v>
      </c>
      <c r="C17" s="2759"/>
      <c r="D17" s="2762"/>
      <c r="E17" s="2756">
        <f>SUM(C17,D17)</f>
        <v>0</v>
      </c>
      <c r="F17" s="169"/>
      <c r="G17" s="1086">
        <f>【様式１】総括表・個票!F93</f>
        <v>0</v>
      </c>
      <c r="H17" s="169"/>
      <c r="I17" s="169"/>
      <c r="J17" s="169"/>
      <c r="K17" s="2751" t="s">
        <v>68</v>
      </c>
      <c r="L17" s="169"/>
      <c r="M17" s="169"/>
      <c r="N17" s="169"/>
      <c r="O17" s="169"/>
      <c r="P17" s="169"/>
      <c r="Q17" s="169"/>
      <c r="R17" s="169"/>
      <c r="S17" s="1256"/>
      <c r="T17" s="1256"/>
      <c r="U17" s="1256"/>
      <c r="V17" s="169"/>
      <c r="W17" s="2751" t="s">
        <v>68</v>
      </c>
      <c r="X17" s="2748"/>
      <c r="Y17" s="2742"/>
      <c r="Z17" s="2742"/>
      <c r="AA17" s="2745"/>
      <c r="AB17" s="107"/>
      <c r="AC17" s="107"/>
      <c r="AL17" s="99">
        <v>15</v>
      </c>
    </row>
    <row r="18" spans="1:38" ht="35.1" customHeight="1">
      <c r="A18" s="653"/>
      <c r="B18" s="673" t="s">
        <v>100</v>
      </c>
      <c r="C18" s="2760"/>
      <c r="D18" s="2763"/>
      <c r="E18" s="2757"/>
      <c r="F18" s="170"/>
      <c r="G18" s="1087">
        <f>【様式１】総括表・個票!H93</f>
        <v>0</v>
      </c>
      <c r="H18" s="170"/>
      <c r="I18" s="170"/>
      <c r="J18" s="170"/>
      <c r="K18" s="2752"/>
      <c r="L18" s="170"/>
      <c r="M18" s="170"/>
      <c r="N18" s="170"/>
      <c r="O18" s="170"/>
      <c r="P18" s="170"/>
      <c r="Q18" s="170"/>
      <c r="R18" s="170"/>
      <c r="S18" s="1257"/>
      <c r="T18" s="1257"/>
      <c r="U18" s="1257"/>
      <c r="V18" s="170"/>
      <c r="W18" s="2752"/>
      <c r="X18" s="2749"/>
      <c r="Y18" s="2743"/>
      <c r="Z18" s="2743"/>
      <c r="AA18" s="2746"/>
      <c r="AL18" s="108">
        <v>16</v>
      </c>
    </row>
    <row r="19" spans="1:38" ht="35.1" customHeight="1">
      <c r="A19" s="653"/>
      <c r="B19" s="673" t="s">
        <v>101</v>
      </c>
      <c r="C19" s="2760"/>
      <c r="D19" s="2763"/>
      <c r="E19" s="2757"/>
      <c r="F19" s="170"/>
      <c r="G19" s="1087">
        <f>【様式１】総括表・個票!J93</f>
        <v>0</v>
      </c>
      <c r="H19" s="170"/>
      <c r="I19" s="170"/>
      <c r="J19" s="170"/>
      <c r="K19" s="2752"/>
      <c r="L19" s="170"/>
      <c r="M19" s="170"/>
      <c r="N19" s="170"/>
      <c r="O19" s="170"/>
      <c r="P19" s="170"/>
      <c r="Q19" s="170"/>
      <c r="R19" s="170"/>
      <c r="S19" s="1257"/>
      <c r="T19" s="1257"/>
      <c r="U19" s="1257"/>
      <c r="V19" s="170"/>
      <c r="W19" s="2752"/>
      <c r="X19" s="2749"/>
      <c r="Y19" s="2743"/>
      <c r="Z19" s="2743"/>
      <c r="AA19" s="2746"/>
      <c r="AL19" s="108">
        <v>17</v>
      </c>
    </row>
    <row r="20" spans="1:38" ht="35.1" customHeight="1">
      <c r="A20" s="653"/>
      <c r="B20" s="673" t="s">
        <v>102</v>
      </c>
      <c r="C20" s="2760"/>
      <c r="D20" s="2763"/>
      <c r="E20" s="2757"/>
      <c r="F20" s="170"/>
      <c r="G20" s="1087">
        <f>【様式１】総括表・個票!L93</f>
        <v>0</v>
      </c>
      <c r="H20" s="170"/>
      <c r="I20" s="170"/>
      <c r="J20" s="170"/>
      <c r="K20" s="2752"/>
      <c r="L20" s="170"/>
      <c r="M20" s="170"/>
      <c r="N20" s="170"/>
      <c r="O20" s="170"/>
      <c r="P20" s="170"/>
      <c r="Q20" s="170"/>
      <c r="R20" s="170"/>
      <c r="S20" s="1257"/>
      <c r="T20" s="1257"/>
      <c r="U20" s="1257"/>
      <c r="V20" s="170"/>
      <c r="W20" s="2752"/>
      <c r="X20" s="2749"/>
      <c r="Y20" s="2743"/>
      <c r="Z20" s="2743"/>
      <c r="AA20" s="2746"/>
      <c r="AL20" s="108">
        <v>18</v>
      </c>
    </row>
    <row r="21" spans="1:38" ht="35.1" customHeight="1">
      <c r="A21" s="653"/>
      <c r="B21" s="673" t="s">
        <v>103</v>
      </c>
      <c r="C21" s="2760"/>
      <c r="D21" s="2763"/>
      <c r="E21" s="2757"/>
      <c r="F21" s="170"/>
      <c r="G21" s="1087">
        <f>【様式１】総括表・個票!N93</f>
        <v>0</v>
      </c>
      <c r="H21" s="170"/>
      <c r="I21" s="170"/>
      <c r="J21" s="170"/>
      <c r="K21" s="2752"/>
      <c r="L21" s="170"/>
      <c r="M21" s="170"/>
      <c r="N21" s="170"/>
      <c r="O21" s="170"/>
      <c r="P21" s="170"/>
      <c r="Q21" s="170"/>
      <c r="R21" s="170"/>
      <c r="S21" s="1257"/>
      <c r="T21" s="1257"/>
      <c r="U21" s="1257"/>
      <c r="V21" s="170"/>
      <c r="W21" s="2752"/>
      <c r="X21" s="2749"/>
      <c r="Y21" s="2743"/>
      <c r="Z21" s="2743"/>
      <c r="AA21" s="2746"/>
      <c r="AL21" s="108">
        <v>19</v>
      </c>
    </row>
    <row r="22" spans="1:38" ht="35.1" customHeight="1">
      <c r="A22" s="653"/>
      <c r="B22" s="673" t="s">
        <v>104</v>
      </c>
      <c r="C22" s="2760"/>
      <c r="D22" s="2763"/>
      <c r="E22" s="2757"/>
      <c r="F22" s="170"/>
      <c r="G22" s="1087">
        <f>【様式１】総括表・個票!P93</f>
        <v>0</v>
      </c>
      <c r="H22" s="170"/>
      <c r="I22" s="170"/>
      <c r="J22" s="170"/>
      <c r="K22" s="2752"/>
      <c r="L22" s="170"/>
      <c r="M22" s="170"/>
      <c r="N22" s="170"/>
      <c r="O22" s="170"/>
      <c r="P22" s="170"/>
      <c r="Q22" s="170"/>
      <c r="R22" s="170"/>
      <c r="S22" s="1257"/>
      <c r="T22" s="1257"/>
      <c r="U22" s="1257"/>
      <c r="V22" s="170"/>
      <c r="W22" s="2752"/>
      <c r="X22" s="2749"/>
      <c r="Y22" s="2743"/>
      <c r="Z22" s="2743"/>
      <c r="AA22" s="2746"/>
      <c r="AL22" s="108">
        <v>20</v>
      </c>
    </row>
    <row r="23" spans="1:38" ht="35.1" customHeight="1">
      <c r="A23" s="653"/>
      <c r="B23" s="673" t="s">
        <v>105</v>
      </c>
      <c r="C23" s="2760"/>
      <c r="D23" s="2763"/>
      <c r="E23" s="2757"/>
      <c r="F23" s="170"/>
      <c r="G23" s="1087">
        <f>【様式１】総括表・個票!R93</f>
        <v>0</v>
      </c>
      <c r="H23" s="170"/>
      <c r="I23" s="170"/>
      <c r="J23" s="170"/>
      <c r="K23" s="2752"/>
      <c r="L23" s="170"/>
      <c r="M23" s="170"/>
      <c r="N23" s="170"/>
      <c r="O23" s="170"/>
      <c r="P23" s="170"/>
      <c r="Q23" s="170"/>
      <c r="R23" s="170"/>
      <c r="S23" s="1257"/>
      <c r="T23" s="1257"/>
      <c r="U23" s="1257"/>
      <c r="V23" s="170"/>
      <c r="W23" s="2752"/>
      <c r="X23" s="2749"/>
      <c r="Y23" s="2743"/>
      <c r="Z23" s="2743"/>
      <c r="AA23" s="2746"/>
      <c r="AL23" s="108">
        <v>21</v>
      </c>
    </row>
    <row r="24" spans="1:38" ht="35.1" customHeight="1">
      <c r="A24" s="653"/>
      <c r="B24" s="673" t="s">
        <v>106</v>
      </c>
      <c r="C24" s="2760"/>
      <c r="D24" s="2763"/>
      <c r="E24" s="2757"/>
      <c r="F24" s="170"/>
      <c r="G24" s="1087">
        <f>【様式１】総括表・個票!T93</f>
        <v>0</v>
      </c>
      <c r="H24" s="170"/>
      <c r="I24" s="170"/>
      <c r="J24" s="170"/>
      <c r="K24" s="2752"/>
      <c r="L24" s="170"/>
      <c r="M24" s="170"/>
      <c r="N24" s="170"/>
      <c r="O24" s="170"/>
      <c r="P24" s="170"/>
      <c r="Q24" s="170"/>
      <c r="R24" s="170"/>
      <c r="S24" s="1257"/>
      <c r="T24" s="1257"/>
      <c r="U24" s="1257"/>
      <c r="V24" s="170"/>
      <c r="W24" s="2752"/>
      <c r="X24" s="2749"/>
      <c r="Y24" s="2743"/>
      <c r="Z24" s="2743"/>
      <c r="AA24" s="2746"/>
      <c r="AL24" s="108">
        <v>22</v>
      </c>
    </row>
    <row r="25" spans="1:38" ht="35.1" customHeight="1">
      <c r="A25" s="653"/>
      <c r="B25" s="673" t="s">
        <v>107</v>
      </c>
      <c r="C25" s="2760"/>
      <c r="D25" s="2763"/>
      <c r="E25" s="2757"/>
      <c r="F25" s="170"/>
      <c r="G25" s="1087">
        <f>【様式１】総括表・個票!V93</f>
        <v>0</v>
      </c>
      <c r="H25" s="170"/>
      <c r="I25" s="170"/>
      <c r="J25" s="170"/>
      <c r="K25" s="2752"/>
      <c r="L25" s="170"/>
      <c r="M25" s="170"/>
      <c r="N25" s="170"/>
      <c r="O25" s="170"/>
      <c r="P25" s="170"/>
      <c r="Q25" s="170"/>
      <c r="R25" s="170"/>
      <c r="S25" s="1257"/>
      <c r="T25" s="1257"/>
      <c r="U25" s="1257"/>
      <c r="V25" s="170"/>
      <c r="W25" s="2752"/>
      <c r="X25" s="2749"/>
      <c r="Y25" s="2743"/>
      <c r="Z25" s="2743"/>
      <c r="AA25" s="2746"/>
      <c r="AL25" s="108">
        <v>23</v>
      </c>
    </row>
    <row r="26" spans="1:38" ht="35.1" customHeight="1">
      <c r="A26" s="653"/>
      <c r="B26" s="673" t="s">
        <v>108</v>
      </c>
      <c r="C26" s="2760"/>
      <c r="D26" s="2763"/>
      <c r="E26" s="2757"/>
      <c r="F26" s="170"/>
      <c r="G26" s="1087">
        <f>【様式１】総括表・個票!X93</f>
        <v>0</v>
      </c>
      <c r="H26" s="170"/>
      <c r="I26" s="170"/>
      <c r="J26" s="170"/>
      <c r="K26" s="2752"/>
      <c r="L26" s="170"/>
      <c r="M26" s="170"/>
      <c r="N26" s="170"/>
      <c r="O26" s="170"/>
      <c r="P26" s="170"/>
      <c r="Q26" s="170"/>
      <c r="R26" s="170"/>
      <c r="S26" s="1257"/>
      <c r="T26" s="1257"/>
      <c r="U26" s="1257"/>
      <c r="V26" s="170"/>
      <c r="W26" s="2752"/>
      <c r="X26" s="2749"/>
      <c r="Y26" s="2743"/>
      <c r="Z26" s="2743"/>
      <c r="AA26" s="2746"/>
      <c r="AL26" s="108">
        <v>24</v>
      </c>
    </row>
    <row r="27" spans="1:38" ht="35.1" customHeight="1">
      <c r="A27" s="653"/>
      <c r="B27" s="673" t="s">
        <v>109</v>
      </c>
      <c r="C27" s="2760"/>
      <c r="D27" s="2763"/>
      <c r="E27" s="2757"/>
      <c r="F27" s="170"/>
      <c r="G27" s="1087">
        <f>【様式１】総括表・個票!Z93</f>
        <v>0</v>
      </c>
      <c r="H27" s="170"/>
      <c r="I27" s="170"/>
      <c r="J27" s="170"/>
      <c r="K27" s="2752"/>
      <c r="L27" s="170"/>
      <c r="M27" s="170"/>
      <c r="N27" s="170"/>
      <c r="O27" s="170"/>
      <c r="P27" s="170"/>
      <c r="Q27" s="170"/>
      <c r="R27" s="170"/>
      <c r="S27" s="1257"/>
      <c r="T27" s="1257"/>
      <c r="U27" s="1257"/>
      <c r="V27" s="170"/>
      <c r="W27" s="2752"/>
      <c r="X27" s="2749"/>
      <c r="Y27" s="2743"/>
      <c r="Z27" s="2743"/>
      <c r="AA27" s="2746"/>
      <c r="AL27" s="108">
        <v>25</v>
      </c>
    </row>
    <row r="28" spans="1:38" ht="35.1" customHeight="1" thickBot="1">
      <c r="A28" s="653"/>
      <c r="B28" s="674" t="s">
        <v>110</v>
      </c>
      <c r="C28" s="2761"/>
      <c r="D28" s="2764"/>
      <c r="E28" s="2758"/>
      <c r="F28" s="171"/>
      <c r="G28" s="1088">
        <f>【様式１】総括表・個票!AB93</f>
        <v>0</v>
      </c>
      <c r="H28" s="171"/>
      <c r="I28" s="171"/>
      <c r="J28" s="171"/>
      <c r="K28" s="2753"/>
      <c r="L28" s="171"/>
      <c r="M28" s="171"/>
      <c r="N28" s="171"/>
      <c r="O28" s="171"/>
      <c r="P28" s="171"/>
      <c r="Q28" s="171"/>
      <c r="R28" s="171"/>
      <c r="S28" s="1258"/>
      <c r="T28" s="1259"/>
      <c r="U28" s="1259"/>
      <c r="V28" s="171"/>
      <c r="W28" s="2753"/>
      <c r="X28" s="2750"/>
      <c r="Y28" s="2744"/>
      <c r="Z28" s="2744"/>
      <c r="AA28" s="2747"/>
      <c r="AL28" s="108">
        <v>26</v>
      </c>
    </row>
    <row r="29" spans="1:38">
      <c r="W29" s="146"/>
      <c r="X29" s="146"/>
      <c r="Y29" s="146"/>
      <c r="Z29" s="146"/>
      <c r="AA29" s="146"/>
      <c r="AL29" s="108">
        <v>27</v>
      </c>
    </row>
    <row r="30" spans="1:38">
      <c r="AL30" s="108">
        <v>28</v>
      </c>
    </row>
    <row r="31" spans="1:38">
      <c r="AL31" s="108">
        <v>29</v>
      </c>
    </row>
    <row r="32" spans="1:38">
      <c r="AL32" s="108">
        <v>30</v>
      </c>
    </row>
    <row r="33" spans="38:38">
      <c r="AL33" s="108">
        <v>31</v>
      </c>
    </row>
    <row r="34" spans="38:38">
      <c r="AL34" s="108">
        <v>32</v>
      </c>
    </row>
    <row r="35" spans="38:38">
      <c r="AL35" s="108">
        <v>33</v>
      </c>
    </row>
    <row r="36" spans="38:38">
      <c r="AL36" s="108">
        <v>34</v>
      </c>
    </row>
    <row r="37" spans="38:38">
      <c r="AL37" s="108">
        <v>35</v>
      </c>
    </row>
    <row r="38" spans="38:38">
      <c r="AL38" s="108">
        <v>36</v>
      </c>
    </row>
    <row r="39" spans="38:38">
      <c r="AL39" s="108">
        <v>37</v>
      </c>
    </row>
    <row r="40" spans="38:38">
      <c r="AL40" s="108">
        <v>38</v>
      </c>
    </row>
    <row r="41" spans="38:38">
      <c r="AL41" s="108">
        <v>39</v>
      </c>
    </row>
    <row r="42" spans="38:38">
      <c r="AL42" s="108">
        <v>40</v>
      </c>
    </row>
    <row r="43" spans="38:38">
      <c r="AL43" s="108">
        <v>41</v>
      </c>
    </row>
    <row r="44" spans="38:38">
      <c r="AL44" s="108">
        <v>42</v>
      </c>
    </row>
    <row r="45" spans="38:38">
      <c r="AL45" s="108">
        <v>43</v>
      </c>
    </row>
    <row r="46" spans="38:38">
      <c r="AL46" s="108">
        <v>44</v>
      </c>
    </row>
    <row r="47" spans="38:38">
      <c r="AL47" s="108">
        <v>45</v>
      </c>
    </row>
    <row r="48" spans="38:38">
      <c r="AL48" s="108">
        <v>46</v>
      </c>
    </row>
    <row r="49" spans="38:38">
      <c r="AL49" s="108">
        <v>47</v>
      </c>
    </row>
    <row r="50" spans="38:38">
      <c r="AL50" s="108">
        <v>48</v>
      </c>
    </row>
    <row r="51" spans="38:38">
      <c r="AL51" s="108">
        <v>49</v>
      </c>
    </row>
    <row r="52" spans="38:38">
      <c r="AL52" s="108">
        <v>50</v>
      </c>
    </row>
  </sheetData>
  <sheetProtection algorithmName="SHA-512" hashValue="oCwZ6xG2aip/9Mv4pqGaCcL+2m0rHe6CWLm5wpOcN46FENXWyukMVlBwjQdUZ9bxBriQEaE2X0JUOaPP5Mrl2A==" saltValue="KUjf+X+SAba3GFa9T1FbcQ==" spinCount="100000" sheet="1" objects="1" scenarios="1"/>
  <mergeCells count="21">
    <mergeCell ref="B14:B16"/>
    <mergeCell ref="E17:E28"/>
    <mergeCell ref="C17:C28"/>
    <mergeCell ref="D17:D28"/>
    <mergeCell ref="W17:W28"/>
    <mergeCell ref="C14:E14"/>
    <mergeCell ref="C15:E15"/>
    <mergeCell ref="S15:T15"/>
    <mergeCell ref="S14:T14"/>
    <mergeCell ref="Y17:Y28"/>
    <mergeCell ref="Z17:Z28"/>
    <mergeCell ref="AA17:AA28"/>
    <mergeCell ref="X17:X28"/>
    <mergeCell ref="K17:K28"/>
    <mergeCell ref="X2:AA2"/>
    <mergeCell ref="V5:AA5"/>
    <mergeCell ref="V4:W4"/>
    <mergeCell ref="Z4:AA4"/>
    <mergeCell ref="T1:Z1"/>
    <mergeCell ref="P4:T4"/>
    <mergeCell ref="P5:T5"/>
  </mergeCells>
  <phoneticPr fontId="1"/>
  <conditionalFormatting sqref="H17:H28">
    <cfRule type="expression" dxfId="5" priority="6">
      <formula>I17="○"</formula>
    </cfRule>
  </conditionalFormatting>
  <conditionalFormatting sqref="I17:I28">
    <cfRule type="expression" dxfId="4" priority="5">
      <formula>H17="○"</formula>
    </cfRule>
  </conditionalFormatting>
  <conditionalFormatting sqref="S17:U28">
    <cfRule type="expression" dxfId="3" priority="4">
      <formula>$S17&lt;$T17</formula>
    </cfRule>
  </conditionalFormatting>
  <conditionalFormatting sqref="S18:U28">
    <cfRule type="expression" dxfId="2" priority="3">
      <formula>AND(S17&gt;0,S18&gt;0,S17&lt;&gt;S18)</formula>
    </cfRule>
  </conditionalFormatting>
  <conditionalFormatting sqref="J17:J28">
    <cfRule type="expression" dxfId="1" priority="2">
      <formula>AND($C$17&lt;12,J17="○")</formula>
    </cfRule>
  </conditionalFormatting>
  <conditionalFormatting sqref="Q17:Q28">
    <cfRule type="expression" dxfId="0" priority="1">
      <formula>AND(P17=0,OR(Q17="その他",Q17="特児"))</formula>
    </cfRule>
  </conditionalFormatting>
  <dataValidations count="11">
    <dataValidation type="list" errorStyle="warning" showInputMessage="1" showErrorMessage="1" sqref="Q17:Q28" xr:uid="{00000000-0002-0000-0E00-000000000000}">
      <formula1>$AH$2:$AH$4</formula1>
    </dataValidation>
    <dataValidation type="list" showInputMessage="1" showErrorMessage="1" sqref="D17" xr:uid="{00000000-0002-0000-0E00-000001000000}">
      <formula1>$AE$2:$AE$6</formula1>
    </dataValidation>
    <dataValidation type="list" showInputMessage="1" showErrorMessage="1" sqref="C17:C28" xr:uid="{00000000-0002-0000-0E00-000002000000}">
      <formula1>$AD$2:$AD$13</formula1>
    </dataValidation>
    <dataValidation type="list" errorStyle="warning" showInputMessage="1" showErrorMessage="1" sqref="M17:M28 F17:F28 K17:K28 W17:W28 Y17:AA28" xr:uid="{00000000-0002-0000-0E00-000003000000}">
      <formula1>$AF$2:$AF$3</formula1>
    </dataValidation>
    <dataValidation type="list" errorStyle="warning" showInputMessage="1" showErrorMessage="1" sqref="S17:T28" xr:uid="{00000000-0002-0000-0E00-000004000000}">
      <formula1>$AL$2:$AL$17</formula1>
    </dataValidation>
    <dataValidation type="list" showInputMessage="1" showErrorMessage="1" sqref="R17:R28 H17:I28 L17:L28 O17:P28" xr:uid="{00000000-0002-0000-0E00-000005000000}">
      <formula1>$AF$2:$AF$3</formula1>
    </dataValidation>
    <dataValidation type="list" errorStyle="warning" showInputMessage="1" showErrorMessage="1" sqref="X17:X28" xr:uid="{00000000-0002-0000-0E00-000006000000}">
      <formula1>$AM$2:$AM$5</formula1>
    </dataValidation>
    <dataValidation type="list" errorStyle="warning" showInputMessage="1" showErrorMessage="1" sqref="N17:N28" xr:uid="{00000000-0002-0000-0E00-000007000000}">
      <formula1>$AG$2:$AG$6</formula1>
    </dataValidation>
    <dataValidation type="list" showInputMessage="1" showErrorMessage="1" sqref="V17:V28" xr:uid="{00000000-0002-0000-0E00-000008000000}">
      <formula1>$AI$2:$AI$5</formula1>
    </dataValidation>
    <dataValidation type="list" showInputMessage="1" showErrorMessage="1" sqref="J17:J28" xr:uid="{D8330A16-7B6C-4B5D-8274-C549313BB4FE}">
      <formula1>$AJ$2:$AJ$4</formula1>
    </dataValidation>
    <dataValidation type="list" errorStyle="warning" showInputMessage="1" showErrorMessage="1" sqref="U17:U28" xr:uid="{67C330A9-B3A9-4B77-AB00-18D23B0E458B}">
      <formula1>$AL$2:$AL$52</formula1>
    </dataValidation>
  </dataValidations>
  <pageMargins left="0.7" right="0.7" top="0.75" bottom="0.75" header="0.3" footer="0.3"/>
  <pageSetup paperSize="9" scale="5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dimension ref="A1:C18"/>
  <sheetViews>
    <sheetView workbookViewId="0">
      <selection activeCell="C8" sqref="C8"/>
    </sheetView>
  </sheetViews>
  <sheetFormatPr defaultColWidth="9" defaultRowHeight="13.5"/>
  <cols>
    <col min="1" max="1" width="11.625" style="176" bestFit="1" customWidth="1"/>
    <col min="2" max="2" width="9" style="176"/>
    <col min="3" max="3" width="60.125" style="176" customWidth="1"/>
    <col min="4" max="16384" width="9" style="176"/>
  </cols>
  <sheetData>
    <row r="1" spans="1:3">
      <c r="A1" s="174" t="s">
        <v>193</v>
      </c>
      <c r="B1" s="175" t="s">
        <v>194</v>
      </c>
      <c r="C1" s="175" t="s">
        <v>195</v>
      </c>
    </row>
    <row r="2" spans="1:3">
      <c r="A2" s="177">
        <v>44707</v>
      </c>
      <c r="B2" s="804">
        <v>1</v>
      </c>
      <c r="C2" s="181" t="s">
        <v>196</v>
      </c>
    </row>
    <row r="3" spans="1:3" ht="60">
      <c r="A3" s="177">
        <v>44799</v>
      </c>
      <c r="B3" s="804">
        <v>1.01</v>
      </c>
      <c r="C3" s="1064" t="s">
        <v>1231</v>
      </c>
    </row>
    <row r="4" spans="1:3" ht="204">
      <c r="A4" s="177">
        <v>45069</v>
      </c>
      <c r="B4" s="804">
        <v>2</v>
      </c>
      <c r="C4" s="1255" t="s">
        <v>1307</v>
      </c>
    </row>
    <row r="5" spans="1:3" ht="14.25" customHeight="1">
      <c r="A5" s="177">
        <v>45070</v>
      </c>
      <c r="B5" s="804">
        <v>2.0099999999999998</v>
      </c>
      <c r="C5" s="1066" t="s">
        <v>1309</v>
      </c>
    </row>
    <row r="6" spans="1:3">
      <c r="A6" s="177"/>
      <c r="B6" s="804"/>
      <c r="C6" s="181"/>
    </row>
    <row r="7" spans="1:3">
      <c r="A7" s="174"/>
      <c r="B7" s="804"/>
      <c r="C7" s="181"/>
    </row>
    <row r="8" spans="1:3">
      <c r="A8" s="174"/>
      <c r="B8" s="804"/>
      <c r="C8" s="181"/>
    </row>
    <row r="9" spans="1:3">
      <c r="A9" s="174"/>
      <c r="B9" s="804"/>
      <c r="C9" s="181"/>
    </row>
    <row r="10" spans="1:3">
      <c r="A10" s="174"/>
      <c r="B10" s="804"/>
      <c r="C10" s="181"/>
    </row>
    <row r="11" spans="1:3">
      <c r="A11" s="174"/>
      <c r="B11" s="804"/>
      <c r="C11" s="181"/>
    </row>
    <row r="12" spans="1:3">
      <c r="A12" s="174"/>
      <c r="B12" s="804"/>
      <c r="C12" s="181"/>
    </row>
    <row r="13" spans="1:3">
      <c r="A13" s="174"/>
      <c r="B13" s="804"/>
      <c r="C13" s="181"/>
    </row>
    <row r="14" spans="1:3">
      <c r="A14" s="174"/>
      <c r="B14" s="804"/>
      <c r="C14" s="181"/>
    </row>
    <row r="15" spans="1:3">
      <c r="A15" s="174"/>
      <c r="B15" s="804"/>
      <c r="C15" s="181"/>
    </row>
    <row r="16" spans="1:3">
      <c r="A16" s="174"/>
      <c r="B16" s="804"/>
      <c r="C16" s="181"/>
    </row>
    <row r="17" spans="1:3" ht="14.25" thickBot="1">
      <c r="A17" s="178"/>
      <c r="B17" s="805"/>
      <c r="C17" s="182"/>
    </row>
    <row r="18" spans="1:3" ht="14.25" thickBot="1">
      <c r="A18" s="179"/>
      <c r="B18" s="806">
        <f>MAX(B2:B17)</f>
        <v>2.0099999999999998</v>
      </c>
      <c r="C18" s="180"/>
    </row>
  </sheetData>
  <sheetProtection algorithmName="SHA-512" hashValue="KRR+m91eQREMsjmRflirXj8X6nvFGyNtCk2Y9fG2/RERwAY4NImVBoSEKByHV1tHHmJay9TwhVoc7TG4PDMc3g==" saltValue="yy2qdEIGH/ZrYAq02Nb5EA==" spinCount="100000" sheet="1" objects="1" scenarios="1"/>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124</vt:i4>
      </vt:variant>
    </vt:vector>
  </HeadingPairs>
  <TitlesOfParts>
    <vt:vector size="140" baseType="lpstr">
      <vt:lpstr>施設状況(要更新)</vt:lpstr>
      <vt:lpstr>休日情報(要更新)</vt:lpstr>
      <vt:lpstr>チーム保育単価(要更新)</vt:lpstr>
      <vt:lpstr>作成方法</vt:lpstr>
      <vt:lpstr>【別添】添付書類の表紙</vt:lpstr>
      <vt:lpstr>【様式１】総括表・個票</vt:lpstr>
      <vt:lpstr>(別紙１)施設長設置</vt:lpstr>
      <vt:lpstr>(別紙2)土曜閉所</vt:lpstr>
      <vt:lpstr>(別紙3)休日</vt:lpstr>
      <vt:lpstr>(別紙6)定員超過</vt:lpstr>
      <vt:lpstr>【様式2】職員名簿</vt:lpstr>
      <vt:lpstr>【様式３】シフト表</vt:lpstr>
      <vt:lpstr>【様式4】クラス編成表</vt:lpstr>
      <vt:lpstr>【様式５】職員数算出表</vt:lpstr>
      <vt:lpstr>【様式6】加算確認表</vt:lpstr>
      <vt:lpstr>ver</vt:lpstr>
      <vt:lpstr>'(別紙１)施設長設置'!Print_Area</vt:lpstr>
      <vt:lpstr>'(別紙2)土曜閉所'!Print_Area</vt:lpstr>
      <vt:lpstr>'(別紙3)休日'!Print_Area</vt:lpstr>
      <vt:lpstr>'(別紙6)定員超過'!Print_Area</vt:lpstr>
      <vt:lpstr>【別添】添付書類の表紙!Print_Area</vt:lpstr>
      <vt:lpstr>【様式１】総括表・個票!Print_Area</vt:lpstr>
      <vt:lpstr>【様式2】職員名簿!Print_Area</vt:lpstr>
      <vt:lpstr>【様式３】シフト表!Print_Area</vt:lpstr>
      <vt:lpstr>【様式4】クラス編成表!Print_Area</vt:lpstr>
      <vt:lpstr>【様式５】職員数算出表!Print_Area</vt:lpstr>
      <vt:lpstr>【様式6】加算確認表!Print_Area</vt:lpstr>
      <vt:lpstr>作成方法!Print_Area</vt:lpstr>
      <vt:lpstr>'(別紙１)施設長設置'!Print_Titles</vt:lpstr>
      <vt:lpstr>'(別紙2)土曜閉所'!Print_Titles</vt:lpstr>
      <vt:lpstr>【様式１】総括表・個票!Print_Titles</vt:lpstr>
      <vt:lpstr>【様式2】職員名簿!Print_Titles</vt:lpstr>
      <vt:lpstr>【様式３】シフト表!Print_Titles</vt:lpstr>
      <vt:lpstr>【様式4】クラス編成表!Print_Titles</vt:lpstr>
      <vt:lpstr>【様式５】職員数算出表!Print_Titles</vt:lpstr>
      <vt:lpstr>栄養士</vt:lpstr>
      <vt:lpstr>業務委託</vt:lpstr>
      <vt:lpstr>厚別区01私立01保育所</vt:lpstr>
      <vt:lpstr>厚別区01私立02幼稚園</vt:lpstr>
      <vt:lpstr>厚別区01私立03認定こども園</vt:lpstr>
      <vt:lpstr>厚別区01保育所</vt:lpstr>
      <vt:lpstr>厚別区03公立01保育所</vt:lpstr>
      <vt:lpstr>厚別区03公立02幼稚園</vt:lpstr>
      <vt:lpstr>札幌市あけぼの保育園</vt:lpstr>
      <vt:lpstr>札幌市外01私立01保育所</vt:lpstr>
      <vt:lpstr>札幌市外01私立02幼稚園</vt:lpstr>
      <vt:lpstr>札幌市外01私立03認定こども園</vt:lpstr>
      <vt:lpstr>札幌市外01私立04小規模A・B・C</vt:lpstr>
      <vt:lpstr>札幌市外01私立06事業所内</vt:lpstr>
      <vt:lpstr>札幌市外02公設民営01保育所</vt:lpstr>
      <vt:lpstr>札幌市外03公立01保育所</vt:lpstr>
      <vt:lpstr>札幌市外03公立03認定こども園</vt:lpstr>
      <vt:lpstr>施設長</vt:lpstr>
      <vt:lpstr>事務員</vt:lpstr>
      <vt:lpstr>手稲区01私立01保育所</vt:lpstr>
      <vt:lpstr>手稲区01私立02幼稚園</vt:lpstr>
      <vt:lpstr>手稲区01私立03認定こども園</vt:lpstr>
      <vt:lpstr>手稲区01私立04小規模A・B・C</vt:lpstr>
      <vt:lpstr>手稲区01私立05家庭的</vt:lpstr>
      <vt:lpstr>手稲区01保育所</vt:lpstr>
      <vt:lpstr>手稲区03公立01保育所</vt:lpstr>
      <vt:lpstr>手稲区03公立02幼稚園</vt:lpstr>
      <vt:lpstr>【様式５】職員数算出表!常勤</vt:lpstr>
      <vt:lpstr>常勤</vt:lpstr>
      <vt:lpstr>常勤保育士</vt:lpstr>
      <vt:lpstr>清田区01私立01保育所</vt:lpstr>
      <vt:lpstr>清田区01私立02幼稚園</vt:lpstr>
      <vt:lpstr>清田区01私立03認定こども園</vt:lpstr>
      <vt:lpstr>清田区01私立04小規模A・B・C</vt:lpstr>
      <vt:lpstr>清田区01私立05家庭的</vt:lpstr>
      <vt:lpstr>清田区01保育所</vt:lpstr>
      <vt:lpstr>清田区03公立03認定こども園</vt:lpstr>
      <vt:lpstr>西区01私立01保育所</vt:lpstr>
      <vt:lpstr>西区01私立02幼稚園</vt:lpstr>
      <vt:lpstr>西区01私立03認定こども園</vt:lpstr>
      <vt:lpstr>西区01私立04小規模A・B・C</vt:lpstr>
      <vt:lpstr>西区01私立05家庭的</vt:lpstr>
      <vt:lpstr>西区01私立06事業所内</vt:lpstr>
      <vt:lpstr>西区01保育所</vt:lpstr>
      <vt:lpstr>西区02公設民営01保育所</vt:lpstr>
      <vt:lpstr>西区03公立01保育所</vt:lpstr>
      <vt:lpstr>西区03公立02幼稚園</vt:lpstr>
      <vt:lpstr>全員</vt:lpstr>
      <vt:lpstr>全職種</vt:lpstr>
      <vt:lpstr>中央区01私立01保育所</vt:lpstr>
      <vt:lpstr>中央区01私立02幼稚園</vt:lpstr>
      <vt:lpstr>中央区01私立03認定こども園</vt:lpstr>
      <vt:lpstr>中央区01私立04小規模A・B・C</vt:lpstr>
      <vt:lpstr>中央区01保育所</vt:lpstr>
      <vt:lpstr>中央区02公設民営01保育所</vt:lpstr>
      <vt:lpstr>中央区03公立01保育所</vt:lpstr>
      <vt:lpstr>中央区03公立02幼稚園</vt:lpstr>
      <vt:lpstr>調理員</vt:lpstr>
      <vt:lpstr>東区01私立01保育所</vt:lpstr>
      <vt:lpstr>東区01私立02幼稚園</vt:lpstr>
      <vt:lpstr>東区01私立03認定こども園</vt:lpstr>
      <vt:lpstr>東区01私立04小規模A・B・C</vt:lpstr>
      <vt:lpstr>東区01私立05家庭的</vt:lpstr>
      <vt:lpstr>東区01私立06事業所内</vt:lpstr>
      <vt:lpstr>東区01保育所</vt:lpstr>
      <vt:lpstr>東区03公立01保育所</vt:lpstr>
      <vt:lpstr>東区03公立02幼稚園</vt:lpstr>
      <vt:lpstr>南区01私立01保育所</vt:lpstr>
      <vt:lpstr>南区01私立02幼稚園</vt:lpstr>
      <vt:lpstr>南区01私立03認定こども園</vt:lpstr>
      <vt:lpstr>南区01私立04小規模A・B・C</vt:lpstr>
      <vt:lpstr>南区01私立05家庭的</vt:lpstr>
      <vt:lpstr>南区01私立06事業所内</vt:lpstr>
      <vt:lpstr>南区01保育所</vt:lpstr>
      <vt:lpstr>南区03公立01保育所</vt:lpstr>
      <vt:lpstr>南区03公立02幼稚園</vt:lpstr>
      <vt:lpstr>南区03公立04小規模A・B・C</vt:lpstr>
      <vt:lpstr>白石区01私立01保育所</vt:lpstr>
      <vt:lpstr>白石区01私立02幼稚園</vt:lpstr>
      <vt:lpstr>白石区01私立03認定こども園</vt:lpstr>
      <vt:lpstr>白石区01私立04小規模A・B・C</vt:lpstr>
      <vt:lpstr>白石区01私立05家庭的</vt:lpstr>
      <vt:lpstr>白石区01私立06事業所内</vt:lpstr>
      <vt:lpstr>白石区01保育所</vt:lpstr>
      <vt:lpstr>白石区03公立01保育所</vt:lpstr>
      <vt:lpstr>白石区03公立02幼稚園</vt:lpstr>
      <vt:lpstr>【様式2】職員名簿!非常勤</vt:lpstr>
      <vt:lpstr>保育士</vt:lpstr>
      <vt:lpstr>豊平区01私立01保育所</vt:lpstr>
      <vt:lpstr>豊平区01私立02幼稚園</vt:lpstr>
      <vt:lpstr>豊平区01私立03認定こども園</vt:lpstr>
      <vt:lpstr>豊平区01私立04小規模A・B・C</vt:lpstr>
      <vt:lpstr>豊平区01私立05家庭的</vt:lpstr>
      <vt:lpstr>豊平区01私立06事業所内</vt:lpstr>
      <vt:lpstr>豊平区01保育所</vt:lpstr>
      <vt:lpstr>豊平区03公立01保育所</vt:lpstr>
      <vt:lpstr>豊平区03公立02幼稚園</vt:lpstr>
      <vt:lpstr>北区01私立01保育所</vt:lpstr>
      <vt:lpstr>北区01私立02幼稚園</vt:lpstr>
      <vt:lpstr>北区01私立03認定こども園</vt:lpstr>
      <vt:lpstr>北区01私立04小規模A・B・C</vt:lpstr>
      <vt:lpstr>北区01私立05家庭的</vt:lpstr>
      <vt:lpstr>北区01保育所</vt:lpstr>
      <vt:lpstr>北区03公立01保育所</vt:lpstr>
      <vt:lpstr>北区03公立02幼稚園</vt:lpstr>
    </vt:vector>
  </TitlesOfParts>
  <Company>札幌市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札幌市子ども未来局</dc:creator>
  <cp:lastPrinted>2022-05-19T08:02:49Z</cp:lastPrinted>
  <dcterms:created xsi:type="dcterms:W3CDTF">2015-05-11T14:56:30Z</dcterms:created>
  <dcterms:modified xsi:type="dcterms:W3CDTF">2023-10-02T01:24:36Z</dcterms:modified>
</cp:coreProperties>
</file>